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dobyh\1\1\2025\ФІНПЛАНИ\2025\півріччя 2025\"/>
    </mc:Choice>
  </mc:AlternateContent>
  <bookViews>
    <workbookView xWindow="0" yWindow="0" windowWidth="28800" windowHeight="12000" tabRatio="838"/>
  </bookViews>
  <sheets>
    <sheet name="Звіт про виконання показ фінпла" sheetId="14" r:id="rId1"/>
    <sheet name="Розшифровка 1 до Формування" sheetId="22" r:id="rId2"/>
    <sheet name="Розшифровка 2 до формування" sheetId="26" r:id="rId3"/>
    <sheet name="Розшифровка кап" sheetId="24" r:id="rId4"/>
    <sheet name="Розшифровка за джерелами" sheetId="9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</externalReferences>
  <definedNames>
    <definedName name="__123Graph_XGRAPH3" hidden="1">[1]GDP!#REF!</definedName>
    <definedName name="aa">'[2]1993'!$A$1:$IV$3,'[2]1993'!$A$1:$A$65536</definedName>
    <definedName name="ad">'[3]МТР Газ України'!$B$1</definedName>
    <definedName name="as">'[4]МТР Газ України'!$B$1</definedName>
    <definedName name="asdf">[5]Inform!$E$6</definedName>
    <definedName name="asdfg">[5]Inform!$F$2</definedName>
    <definedName name="BuiltIn_Print_Area___1___1">#REF!</definedName>
    <definedName name="ClDate">[6]Inform!$E$6</definedName>
    <definedName name="ClDate_21">[7]Inform!$E$6</definedName>
    <definedName name="ClDate_25">[7]Inform!$E$6</definedName>
    <definedName name="ClDate_6">[8]Inform!$E$6</definedName>
    <definedName name="CompName">[6]Inform!$F$2</definedName>
    <definedName name="CompName_21">[7]Inform!$F$2</definedName>
    <definedName name="CompName_25">[7]Inform!$F$2</definedName>
    <definedName name="CompName_6">[8]Inform!$F$2</definedName>
    <definedName name="CompNameE">[6]Inform!$G$2</definedName>
    <definedName name="CompNameE_21">[7]Inform!$G$2</definedName>
    <definedName name="CompNameE_25">[7]Inform!$G$2</definedName>
    <definedName name="CompNameE_6">[8]Inform!$G$2</definedName>
    <definedName name="Cost_Category_National_ID">#REF!</definedName>
    <definedName name="Cе511">#REF!</definedName>
    <definedName name="d">'[9]МТР Газ України'!$B$4</definedName>
    <definedName name="dCPIb">[10]попер_роз!#REF!</definedName>
    <definedName name="dPPIb">[10]попер_роз!#REF!</definedName>
    <definedName name="ds">'[11]7  Інші витрати'!#REF!</definedName>
    <definedName name="Fact_Type_ID">#REF!</definedName>
    <definedName name="G">'[12]МТР Газ України'!$B$1</definedName>
    <definedName name="ij1sssss">'[13]7  Інші витрати'!#REF!</definedName>
    <definedName name="LastItem">[14]Лист1!$A$1</definedName>
    <definedName name="Load">'[15]МТР Газ України'!$B$4</definedName>
    <definedName name="Load_ID">'[16]МТР Газ України'!$B$4</definedName>
    <definedName name="Load_ID_10">'[17]7  Інші витрати'!#REF!</definedName>
    <definedName name="Load_ID_11">'[18]МТР Газ України'!$B$4</definedName>
    <definedName name="Load_ID_12">'[18]МТР Газ України'!$B$4</definedName>
    <definedName name="Load_ID_13">'[18]МТР Газ України'!$B$4</definedName>
    <definedName name="Load_ID_14">'[18]МТР Газ України'!$B$4</definedName>
    <definedName name="Load_ID_15">'[18]МТР Газ України'!$B$4</definedName>
    <definedName name="Load_ID_16">'[18]МТР Газ України'!$B$4</definedName>
    <definedName name="Load_ID_17">'[18]МТР Газ України'!$B$4</definedName>
    <definedName name="Load_ID_18">'[19]МТР Газ України'!$B$4</definedName>
    <definedName name="Load_ID_19">'[20]МТР Газ України'!$B$4</definedName>
    <definedName name="Load_ID_20">'[19]МТР Газ України'!$B$4</definedName>
    <definedName name="Load_ID_200">'[15]МТР Газ України'!$B$4</definedName>
    <definedName name="Load_ID_21">'[21]МТР Газ України'!$B$4</definedName>
    <definedName name="Load_ID_23">'[20]МТР Газ України'!$B$4</definedName>
    <definedName name="Load_ID_25">'[21]МТР Газ України'!$B$4</definedName>
    <definedName name="Load_ID_542">'[22]МТР Газ України'!$B$4</definedName>
    <definedName name="Load_ID_6">'[18]МТР Газ України'!$B$4</definedName>
    <definedName name="OpDate">[6]Inform!$E$5</definedName>
    <definedName name="OpDate_21">[7]Inform!$E$5</definedName>
    <definedName name="OpDate_25">[7]Inform!$E$5</definedName>
    <definedName name="OpDate_6">[8]Inform!$E$5</definedName>
    <definedName name="QR">[23]Inform!$E$5</definedName>
    <definedName name="qw">[5]Inform!$E$5</definedName>
    <definedName name="qwert">[5]Inform!$G$2</definedName>
    <definedName name="qwerty">'[4]МТР Газ України'!$B$4</definedName>
    <definedName name="ShowFil">[14]!ShowFil</definedName>
    <definedName name="SU_ID">#REF!</definedName>
    <definedName name="Time_ID">'[16]МТР Газ України'!$B$1</definedName>
    <definedName name="Time_ID_10">'[17]7  Інші витрати'!#REF!</definedName>
    <definedName name="Time_ID_11">'[18]МТР Газ України'!$B$1</definedName>
    <definedName name="Time_ID_12">'[18]МТР Газ України'!$B$1</definedName>
    <definedName name="Time_ID_13">'[18]МТР Газ України'!$B$1</definedName>
    <definedName name="Time_ID_14">'[18]МТР Газ України'!$B$1</definedName>
    <definedName name="Time_ID_15">'[18]МТР Газ України'!$B$1</definedName>
    <definedName name="Time_ID_16">'[18]МТР Газ України'!$B$1</definedName>
    <definedName name="Time_ID_17">'[18]МТР Газ України'!$B$1</definedName>
    <definedName name="Time_ID_18">'[19]МТР Газ України'!$B$1</definedName>
    <definedName name="Time_ID_19">'[20]МТР Газ України'!$B$1</definedName>
    <definedName name="Time_ID_20">'[19]МТР Газ України'!$B$1</definedName>
    <definedName name="Time_ID_21">'[21]МТР Газ України'!$B$1</definedName>
    <definedName name="Time_ID_23">'[20]МТР Газ України'!$B$1</definedName>
    <definedName name="Time_ID_25">'[21]МТР Газ України'!$B$1</definedName>
    <definedName name="Time_ID_6">'[18]МТР Газ України'!$B$1</definedName>
    <definedName name="Time_ID0">'[16]МТР Газ України'!$F$1</definedName>
    <definedName name="Time_ID0_10">'[17]7  Інші витрати'!#REF!</definedName>
    <definedName name="Time_ID0_11">'[18]МТР Газ України'!$F$1</definedName>
    <definedName name="Time_ID0_12">'[18]МТР Газ України'!$F$1</definedName>
    <definedName name="Time_ID0_13">'[18]МТР Газ України'!$F$1</definedName>
    <definedName name="Time_ID0_14">'[18]МТР Газ України'!$F$1</definedName>
    <definedName name="Time_ID0_15">'[18]МТР Газ України'!$F$1</definedName>
    <definedName name="Time_ID0_16">'[18]МТР Газ України'!$F$1</definedName>
    <definedName name="Time_ID0_17">'[18]МТР Газ України'!$F$1</definedName>
    <definedName name="Time_ID0_18">'[19]МТР Газ України'!$F$1</definedName>
    <definedName name="Time_ID0_19">'[20]МТР Газ України'!$F$1</definedName>
    <definedName name="Time_ID0_20">'[19]МТР Газ України'!$F$1</definedName>
    <definedName name="Time_ID0_21">'[21]МТР Газ України'!$F$1</definedName>
    <definedName name="Time_ID0_23">'[20]МТР Газ України'!$F$1</definedName>
    <definedName name="Time_ID0_25">'[21]МТР Газ України'!$F$1</definedName>
    <definedName name="Time_ID0_6">'[18]МТР Газ України'!$F$1</definedName>
    <definedName name="ttttttt">#REF!</definedName>
    <definedName name="Unit">[6]Inform!$E$38</definedName>
    <definedName name="Unit_21">[7]Inform!$E$38</definedName>
    <definedName name="Unit_25">[7]Inform!$E$38</definedName>
    <definedName name="Unit_6">[8]Inform!$E$38</definedName>
    <definedName name="WQER">'[24]МТР Газ України'!$B$4</definedName>
    <definedName name="wr">'[24]МТР Газ України'!$B$4</definedName>
    <definedName name="yyyy">#REF!</definedName>
    <definedName name="zx">'[4]МТР Газ України'!$F$1</definedName>
    <definedName name="zxc">[5]Inform!$E$38</definedName>
    <definedName name="а">'[13]7  Інші витрати'!#REF!</definedName>
    <definedName name="ав">#REF!</definedName>
    <definedName name="аен">'[24]МТР Газ України'!$B$4</definedName>
    <definedName name="_xlnm.Database">'[25]Ener '!$A$1:$G$2645</definedName>
    <definedName name="в">'[26]МТР Газ України'!$F$1</definedName>
    <definedName name="ватт">'[27]БАЗА  '!#REF!</definedName>
    <definedName name="Д">'[15]МТР Газ України'!$B$4</definedName>
    <definedName name="е">#REF!</definedName>
    <definedName name="є">#REF!</definedName>
    <definedName name="_xlnm.Print_Titles" localSheetId="0">'Звіт про виконання показ фінпла'!$4:$6</definedName>
    <definedName name="_xlnm.Print_Titles" localSheetId="1">'Розшифровка 1 до Формування'!$4:$5</definedName>
    <definedName name="_xlnm.Print_Titles" localSheetId="2">'Розшифровка 2 до формування'!$4:$5</definedName>
    <definedName name="_xlnm.Print_Titles" localSheetId="4">'Розшифровка за джерелами'!$4:$5</definedName>
    <definedName name="_xlnm.Print_Titles" localSheetId="3">'Розшифровка кап'!$3:$4</definedName>
    <definedName name="Заголовки_для_печати_МИ">'[28]1993'!$A$1:$IV$3,'[28]1993'!$A$1:$A$65536</definedName>
    <definedName name="і">[29]Inform!$F$2</definedName>
    <definedName name="ів">#REF!</definedName>
    <definedName name="ів___0">#REF!</definedName>
    <definedName name="ів_22">#REF!</definedName>
    <definedName name="ів_26">#REF!</definedName>
    <definedName name="іваіа">'[30]7  Інші витрати'!#REF!</definedName>
    <definedName name="іваф">#REF!</definedName>
    <definedName name="івів">'[12]МТР Газ України'!$B$1</definedName>
    <definedName name="іцу">[23]Inform!$G$2</definedName>
    <definedName name="йуц">#REF!</definedName>
    <definedName name="йцу">#REF!</definedName>
    <definedName name="йцуйй">#REF!</definedName>
    <definedName name="йцукц">'[30]7  Інші витрати'!#REF!</definedName>
    <definedName name="КЕ">#REF!</definedName>
    <definedName name="КЕ___0">#REF!</definedName>
    <definedName name="КЕ_22">#REF!</definedName>
    <definedName name="КЕ_26">#REF!</definedName>
    <definedName name="кен">#REF!</definedName>
    <definedName name="л">#REF!</definedName>
    <definedName name="_xlnm.Print_Area" localSheetId="0">'Звіт про виконання показ фінпла'!$A$1:$H$100</definedName>
    <definedName name="_xlnm.Print_Area" localSheetId="1">'Розшифровка 1 до Формування'!$A$1:$H$98</definedName>
    <definedName name="_xlnm.Print_Area" localSheetId="2">'Розшифровка 2 до формування'!$A$1:$H$255</definedName>
    <definedName name="_xlnm.Print_Area" localSheetId="4">'Розшифровка за джерелами'!$A$1:$P$131</definedName>
    <definedName name="_xlnm.Print_Area" localSheetId="3">'Розшифровка кап'!$A$1:$G$199</definedName>
    <definedName name="п">'[13]7  Інші витрати'!#REF!</definedName>
    <definedName name="пдв">'[15]МТР Газ України'!$B$4</definedName>
    <definedName name="пдв_утг">'[15]МТР Газ України'!$F$1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ппп">[31]Inform!$E$6</definedName>
    <definedName name="р">#REF!</definedName>
    <definedName name="т">[32]Inform!$E$6</definedName>
    <definedName name="тариф">[33]Inform!$G$2</definedName>
    <definedName name="уйцукйцуйу">#REF!</definedName>
    <definedName name="уке">[34]Inform!$G$2</definedName>
    <definedName name="УТГ">'[15]МТР Газ України'!$B$4</definedName>
    <definedName name="фів">'[24]МТР Газ України'!$B$4</definedName>
    <definedName name="фіваіф">'[30]7  Інші витрати'!#REF!</definedName>
    <definedName name="фф">'[26]МТР Газ України'!$F$1</definedName>
    <definedName name="ц">'[13]7  Інші витрати'!#REF!</definedName>
    <definedName name="ччч">'[35]БАЗА  '!#REF!</definedName>
    <definedName name="ш">#REF!</definedName>
  </definedNames>
  <calcPr calcId="162913"/>
</workbook>
</file>

<file path=xl/calcChain.xml><?xml version="1.0" encoding="utf-8"?>
<calcChain xmlns="http://schemas.openxmlformats.org/spreadsheetml/2006/main">
  <c r="N16" i="9" l="1"/>
  <c r="F40" i="26" l="1"/>
  <c r="F16" i="26"/>
  <c r="C85" i="14" l="1"/>
  <c r="D85" i="14"/>
  <c r="E85" i="14"/>
  <c r="F85" i="14"/>
  <c r="P124" i="9"/>
  <c r="O124" i="9"/>
  <c r="P123" i="9"/>
  <c r="O123" i="9"/>
  <c r="P122" i="9"/>
  <c r="O122" i="9"/>
  <c r="P121" i="9"/>
  <c r="O121" i="9"/>
  <c r="P120" i="9"/>
  <c r="O120" i="9"/>
  <c r="P119" i="9"/>
  <c r="O119" i="9"/>
  <c r="P118" i="9"/>
  <c r="O118" i="9"/>
  <c r="P117" i="9"/>
  <c r="O117" i="9"/>
  <c r="P116" i="9"/>
  <c r="O116" i="9"/>
  <c r="P115" i="9"/>
  <c r="O115" i="9"/>
  <c r="P114" i="9"/>
  <c r="O114" i="9"/>
  <c r="P113" i="9"/>
  <c r="O113" i="9"/>
  <c r="P112" i="9"/>
  <c r="O112" i="9"/>
  <c r="P111" i="9"/>
  <c r="O111" i="9"/>
  <c r="P110" i="9"/>
  <c r="O110" i="9"/>
  <c r="P109" i="9"/>
  <c r="O109" i="9"/>
  <c r="P108" i="9"/>
  <c r="O108" i="9"/>
  <c r="P107" i="9"/>
  <c r="O107" i="9"/>
  <c r="P106" i="9"/>
  <c r="O106" i="9"/>
  <c r="P105" i="9"/>
  <c r="O105" i="9"/>
  <c r="P104" i="9"/>
  <c r="O104" i="9"/>
  <c r="P103" i="9"/>
  <c r="O103" i="9"/>
  <c r="P102" i="9"/>
  <c r="O102" i="9"/>
  <c r="P101" i="9"/>
  <c r="O101" i="9"/>
  <c r="P100" i="9"/>
  <c r="O100" i="9"/>
  <c r="P99" i="9"/>
  <c r="O99" i="9"/>
  <c r="P98" i="9"/>
  <c r="O98" i="9"/>
  <c r="P97" i="9"/>
  <c r="O97" i="9"/>
  <c r="P96" i="9"/>
  <c r="O96" i="9"/>
  <c r="P95" i="9"/>
  <c r="O95" i="9"/>
  <c r="P94" i="9"/>
  <c r="O94" i="9"/>
  <c r="P93" i="9"/>
  <c r="O93" i="9"/>
  <c r="P92" i="9"/>
  <c r="O92" i="9"/>
  <c r="P91" i="9"/>
  <c r="O91" i="9"/>
  <c r="P90" i="9"/>
  <c r="O90" i="9"/>
  <c r="P89" i="9"/>
  <c r="O89" i="9"/>
  <c r="P88" i="9"/>
  <c r="O88" i="9"/>
  <c r="P87" i="9"/>
  <c r="O87" i="9"/>
  <c r="P86" i="9"/>
  <c r="O86" i="9"/>
  <c r="P85" i="9"/>
  <c r="O85" i="9"/>
  <c r="P84" i="9"/>
  <c r="O84" i="9"/>
  <c r="P83" i="9"/>
  <c r="O83" i="9"/>
  <c r="P82" i="9"/>
  <c r="O82" i="9"/>
  <c r="P81" i="9"/>
  <c r="O81" i="9"/>
  <c r="P80" i="9"/>
  <c r="O80" i="9"/>
  <c r="P79" i="9"/>
  <c r="O79" i="9"/>
  <c r="P78" i="9"/>
  <c r="O78" i="9"/>
  <c r="P77" i="9"/>
  <c r="O77" i="9"/>
  <c r="P76" i="9"/>
  <c r="O76" i="9"/>
  <c r="P75" i="9"/>
  <c r="O75" i="9"/>
  <c r="P74" i="9"/>
  <c r="O74" i="9"/>
  <c r="P73" i="9"/>
  <c r="O73" i="9"/>
  <c r="P72" i="9"/>
  <c r="O72" i="9"/>
  <c r="P71" i="9"/>
  <c r="O71" i="9"/>
  <c r="P70" i="9"/>
  <c r="O70" i="9"/>
  <c r="P69" i="9"/>
  <c r="O69" i="9"/>
  <c r="P68" i="9"/>
  <c r="O68" i="9"/>
  <c r="P67" i="9"/>
  <c r="O67" i="9"/>
  <c r="P66" i="9"/>
  <c r="O66" i="9"/>
  <c r="P65" i="9"/>
  <c r="O65" i="9"/>
  <c r="P64" i="9"/>
  <c r="O64" i="9"/>
  <c r="P63" i="9"/>
  <c r="O63" i="9"/>
  <c r="P62" i="9"/>
  <c r="O62" i="9"/>
  <c r="P61" i="9"/>
  <c r="O61" i="9"/>
  <c r="P60" i="9"/>
  <c r="O60" i="9"/>
  <c r="P59" i="9"/>
  <c r="O59" i="9"/>
  <c r="P58" i="9"/>
  <c r="O58" i="9"/>
  <c r="P57" i="9"/>
  <c r="O57" i="9"/>
  <c r="P56" i="9"/>
  <c r="O56" i="9"/>
  <c r="P55" i="9"/>
  <c r="O55" i="9"/>
  <c r="P54" i="9"/>
  <c r="O54" i="9"/>
  <c r="P53" i="9"/>
  <c r="O53" i="9"/>
  <c r="P52" i="9"/>
  <c r="O52" i="9"/>
  <c r="P51" i="9"/>
  <c r="O51" i="9"/>
  <c r="P50" i="9"/>
  <c r="O50" i="9"/>
  <c r="P49" i="9"/>
  <c r="O49" i="9"/>
  <c r="P48" i="9"/>
  <c r="O48" i="9"/>
  <c r="P47" i="9"/>
  <c r="O47" i="9"/>
  <c r="P46" i="9"/>
  <c r="O46" i="9"/>
  <c r="P45" i="9"/>
  <c r="O45" i="9"/>
  <c r="P44" i="9"/>
  <c r="O44" i="9"/>
  <c r="P43" i="9"/>
  <c r="O43" i="9"/>
  <c r="P42" i="9"/>
  <c r="O42" i="9"/>
  <c r="P41" i="9"/>
  <c r="O41" i="9"/>
  <c r="P40" i="9"/>
  <c r="O40" i="9"/>
  <c r="P39" i="9"/>
  <c r="O39" i="9"/>
  <c r="P38" i="9"/>
  <c r="O38" i="9"/>
  <c r="P37" i="9"/>
  <c r="O37" i="9"/>
  <c r="P36" i="9"/>
  <c r="O36" i="9"/>
  <c r="P35" i="9"/>
  <c r="O35" i="9"/>
  <c r="P34" i="9"/>
  <c r="O34" i="9"/>
  <c r="P33" i="9"/>
  <c r="O33" i="9"/>
  <c r="P32" i="9"/>
  <c r="O32" i="9"/>
  <c r="P31" i="9"/>
  <c r="O31" i="9"/>
  <c r="P30" i="9"/>
  <c r="O30" i="9"/>
  <c r="P29" i="9"/>
  <c r="O29" i="9"/>
  <c r="P28" i="9"/>
  <c r="O28" i="9"/>
  <c r="P27" i="9"/>
  <c r="O27" i="9"/>
  <c r="P26" i="9"/>
  <c r="O26" i="9"/>
  <c r="P25" i="9"/>
  <c r="O25" i="9"/>
  <c r="P24" i="9"/>
  <c r="O24" i="9"/>
  <c r="P23" i="9"/>
  <c r="O23" i="9"/>
  <c r="P22" i="9"/>
  <c r="O22" i="9"/>
  <c r="P21" i="9"/>
  <c r="O21" i="9"/>
  <c r="P20" i="9"/>
  <c r="O20" i="9"/>
  <c r="P19" i="9"/>
  <c r="O19" i="9"/>
  <c r="P18" i="9"/>
  <c r="O18" i="9"/>
  <c r="P17" i="9"/>
  <c r="O17" i="9"/>
  <c r="P16" i="9"/>
  <c r="O16" i="9"/>
  <c r="P15" i="9"/>
  <c r="O15" i="9"/>
  <c r="P14" i="9"/>
  <c r="O14" i="9"/>
  <c r="P13" i="9"/>
  <c r="O13" i="9"/>
  <c r="P12" i="9"/>
  <c r="O12" i="9"/>
  <c r="P11" i="9"/>
  <c r="O11" i="9"/>
  <c r="P10" i="9"/>
  <c r="O10" i="9"/>
  <c r="P9" i="9"/>
  <c r="O9" i="9"/>
  <c r="P8" i="9"/>
  <c r="O8" i="9"/>
  <c r="O7" i="9"/>
  <c r="G195" i="24"/>
  <c r="F195" i="24"/>
  <c r="G194" i="24"/>
  <c r="F194" i="24"/>
  <c r="G193" i="24"/>
  <c r="F193" i="24"/>
  <c r="G192" i="24"/>
  <c r="F192" i="24"/>
  <c r="G191" i="24"/>
  <c r="F191" i="24"/>
  <c r="G190" i="24"/>
  <c r="F190" i="24"/>
  <c r="G189" i="24"/>
  <c r="F189" i="24"/>
  <c r="G188" i="24"/>
  <c r="F188" i="24"/>
  <c r="G187" i="24"/>
  <c r="F187" i="24"/>
  <c r="G186" i="24"/>
  <c r="F186" i="24"/>
  <c r="G185" i="24"/>
  <c r="F185" i="24"/>
  <c r="G184" i="24"/>
  <c r="F184" i="24"/>
  <c r="G183" i="24"/>
  <c r="F183" i="24"/>
  <c r="G182" i="24"/>
  <c r="F182" i="24"/>
  <c r="G181" i="24"/>
  <c r="F181" i="24"/>
  <c r="G180" i="24"/>
  <c r="F180" i="24"/>
  <c r="G179" i="24"/>
  <c r="F179" i="24"/>
  <c r="G178" i="24"/>
  <c r="F178" i="24"/>
  <c r="G177" i="24"/>
  <c r="F177" i="24"/>
  <c r="G176" i="24"/>
  <c r="F176" i="24"/>
  <c r="G175" i="24"/>
  <c r="F175" i="24"/>
  <c r="G174" i="24"/>
  <c r="F174" i="24"/>
  <c r="G173" i="24"/>
  <c r="F173" i="24"/>
  <c r="G172" i="24"/>
  <c r="F172" i="24"/>
  <c r="G171" i="24"/>
  <c r="F171" i="24"/>
  <c r="G170" i="24"/>
  <c r="F170" i="24"/>
  <c r="G169" i="24"/>
  <c r="F169" i="24"/>
  <c r="G168" i="24"/>
  <c r="F168" i="24"/>
  <c r="G167" i="24"/>
  <c r="F167" i="24"/>
  <c r="G166" i="24"/>
  <c r="F166" i="24"/>
  <c r="G165" i="24"/>
  <c r="F165" i="24"/>
  <c r="G164" i="24"/>
  <c r="F164" i="24"/>
  <c r="G163" i="24"/>
  <c r="F163" i="24"/>
  <c r="G162" i="24"/>
  <c r="F162" i="24"/>
  <c r="G161" i="24"/>
  <c r="F161" i="24"/>
  <c r="G160" i="24"/>
  <c r="F160" i="24"/>
  <c r="G159" i="24"/>
  <c r="F159" i="24"/>
  <c r="G158" i="24"/>
  <c r="F158" i="24"/>
  <c r="G157" i="24"/>
  <c r="F157" i="24"/>
  <c r="G156" i="24"/>
  <c r="F156" i="24"/>
  <c r="G155" i="24"/>
  <c r="F155" i="24"/>
  <c r="G154" i="24"/>
  <c r="F154" i="24"/>
  <c r="G153" i="24"/>
  <c r="F153" i="24"/>
  <c r="G152" i="24"/>
  <c r="F152" i="24"/>
  <c r="G151" i="24"/>
  <c r="F151" i="24"/>
  <c r="G150" i="24"/>
  <c r="F150" i="24"/>
  <c r="G149" i="24"/>
  <c r="F149" i="24"/>
  <c r="G148" i="24"/>
  <c r="F148" i="24"/>
  <c r="G147" i="24"/>
  <c r="F147" i="24"/>
  <c r="G146" i="24"/>
  <c r="F146" i="24"/>
  <c r="G145" i="24"/>
  <c r="F145" i="24"/>
  <c r="G144" i="24"/>
  <c r="F144" i="24"/>
  <c r="G143" i="24"/>
  <c r="F143" i="24"/>
  <c r="G142" i="24"/>
  <c r="F142" i="24"/>
  <c r="G141" i="24"/>
  <c r="F141" i="24"/>
  <c r="G140" i="24"/>
  <c r="F140" i="24"/>
  <c r="G139" i="24"/>
  <c r="F139" i="24"/>
  <c r="G138" i="24"/>
  <c r="F138" i="24"/>
  <c r="G137" i="24"/>
  <c r="F137" i="24"/>
  <c r="G136" i="24"/>
  <c r="F136" i="24"/>
  <c r="G135" i="24"/>
  <c r="F135" i="24"/>
  <c r="G134" i="24"/>
  <c r="F134" i="24"/>
  <c r="G133" i="24"/>
  <c r="F133" i="24"/>
  <c r="G132" i="24"/>
  <c r="F132" i="24"/>
  <c r="G131" i="24"/>
  <c r="F131" i="24"/>
  <c r="G130" i="24"/>
  <c r="F130" i="24"/>
  <c r="G129" i="24"/>
  <c r="F129" i="24"/>
  <c r="G128" i="24"/>
  <c r="F128" i="24"/>
  <c r="G127" i="24"/>
  <c r="F127" i="24"/>
  <c r="G126" i="24"/>
  <c r="F126" i="24"/>
  <c r="G125" i="24"/>
  <c r="F125" i="24"/>
  <c r="G124" i="24"/>
  <c r="F124" i="24"/>
  <c r="G123" i="24"/>
  <c r="F123" i="24"/>
  <c r="G122" i="24"/>
  <c r="F122" i="24"/>
  <c r="G121" i="24"/>
  <c r="F121" i="24"/>
  <c r="G120" i="24"/>
  <c r="F120" i="24"/>
  <c r="G119" i="24"/>
  <c r="F119" i="24"/>
  <c r="G118" i="24"/>
  <c r="F118" i="24"/>
  <c r="G117" i="24"/>
  <c r="F117" i="24"/>
  <c r="G116" i="24"/>
  <c r="F116" i="24"/>
  <c r="G115" i="24"/>
  <c r="F115" i="24"/>
  <c r="G114" i="24"/>
  <c r="F114" i="24"/>
  <c r="G113" i="24"/>
  <c r="F113" i="24"/>
  <c r="G112" i="24"/>
  <c r="F112" i="24"/>
  <c r="G111" i="24"/>
  <c r="F111" i="24"/>
  <c r="G110" i="24"/>
  <c r="F110" i="24"/>
  <c r="G109" i="24"/>
  <c r="F109" i="24"/>
  <c r="G108" i="24"/>
  <c r="F108" i="24"/>
  <c r="G107" i="24"/>
  <c r="F107" i="24"/>
  <c r="G106" i="24"/>
  <c r="F106" i="24"/>
  <c r="G105" i="24"/>
  <c r="F105" i="24"/>
  <c r="G104" i="24"/>
  <c r="F104" i="24"/>
  <c r="G103" i="24"/>
  <c r="F103" i="24"/>
  <c r="G102" i="24"/>
  <c r="F102" i="24"/>
  <c r="G101" i="24"/>
  <c r="F101" i="24"/>
  <c r="G100" i="24"/>
  <c r="F100" i="24"/>
  <c r="G99" i="24"/>
  <c r="F99" i="24"/>
  <c r="G98" i="24"/>
  <c r="F98" i="24"/>
  <c r="G97" i="24"/>
  <c r="F97" i="24"/>
  <c r="G96" i="24"/>
  <c r="F96" i="24"/>
  <c r="G95" i="24"/>
  <c r="F95" i="24"/>
  <c r="G94" i="24"/>
  <c r="F94" i="24"/>
  <c r="G93" i="24"/>
  <c r="F93" i="24"/>
  <c r="G92" i="24"/>
  <c r="F92" i="24"/>
  <c r="G91" i="24"/>
  <c r="F91" i="24"/>
  <c r="G90" i="24"/>
  <c r="F90" i="24"/>
  <c r="G89" i="24"/>
  <c r="F89" i="24"/>
  <c r="G88" i="24"/>
  <c r="F88" i="24"/>
  <c r="G87" i="24"/>
  <c r="F87" i="24"/>
  <c r="G86" i="24"/>
  <c r="F86" i="24"/>
  <c r="G85" i="24"/>
  <c r="F85" i="24"/>
  <c r="G84" i="24"/>
  <c r="F84" i="24"/>
  <c r="G83" i="24"/>
  <c r="F83" i="24"/>
  <c r="G82" i="24"/>
  <c r="F82" i="24"/>
  <c r="G81" i="24"/>
  <c r="F81" i="24"/>
  <c r="G80" i="24"/>
  <c r="F80" i="24"/>
  <c r="G79" i="24"/>
  <c r="F79" i="24"/>
  <c r="G78" i="24"/>
  <c r="F78" i="24"/>
  <c r="G77" i="24"/>
  <c r="F77" i="24"/>
  <c r="G76" i="24"/>
  <c r="F76" i="24"/>
  <c r="G75" i="24"/>
  <c r="F75" i="24"/>
  <c r="G74" i="24"/>
  <c r="F74" i="24"/>
  <c r="G73" i="24"/>
  <c r="F73" i="24"/>
  <c r="G72" i="24"/>
  <c r="F72" i="24"/>
  <c r="G71" i="24"/>
  <c r="F71" i="24"/>
  <c r="G70" i="24"/>
  <c r="F70" i="24"/>
  <c r="G69" i="24"/>
  <c r="F69" i="24"/>
  <c r="G68" i="24"/>
  <c r="F68" i="24"/>
  <c r="G67" i="24"/>
  <c r="F67" i="24"/>
  <c r="G66" i="24"/>
  <c r="F66" i="24"/>
  <c r="G65" i="24"/>
  <c r="F65" i="24"/>
  <c r="G64" i="24"/>
  <c r="F64" i="24"/>
  <c r="G63" i="24"/>
  <c r="F63" i="24"/>
  <c r="G62" i="24"/>
  <c r="F62" i="24"/>
  <c r="G61" i="24"/>
  <c r="F61" i="24"/>
  <c r="G60" i="24"/>
  <c r="F60" i="24"/>
  <c r="G59" i="24"/>
  <c r="F59" i="24"/>
  <c r="G58" i="24"/>
  <c r="F58" i="24"/>
  <c r="G57" i="24"/>
  <c r="F57" i="24"/>
  <c r="G56" i="24"/>
  <c r="F56" i="24"/>
  <c r="G55" i="24"/>
  <c r="F55" i="24"/>
  <c r="G54" i="24"/>
  <c r="F54" i="24"/>
  <c r="G53" i="24"/>
  <c r="F53" i="24"/>
  <c r="G52" i="24"/>
  <c r="F52" i="24"/>
  <c r="G51" i="24"/>
  <c r="F51" i="24"/>
  <c r="G50" i="24"/>
  <c r="F50" i="24"/>
  <c r="G49" i="24"/>
  <c r="F49" i="24"/>
  <c r="G48" i="24"/>
  <c r="F48" i="24"/>
  <c r="G47" i="24"/>
  <c r="F47" i="24"/>
  <c r="G46" i="24"/>
  <c r="F46" i="24"/>
  <c r="G45" i="24"/>
  <c r="F45" i="24"/>
  <c r="G44" i="24"/>
  <c r="F44" i="24"/>
  <c r="G43" i="24"/>
  <c r="F43" i="24"/>
  <c r="G42" i="24"/>
  <c r="F42" i="24"/>
  <c r="G41" i="24"/>
  <c r="F41" i="24"/>
  <c r="G40" i="24"/>
  <c r="F40" i="24"/>
  <c r="G39" i="24"/>
  <c r="F39" i="24"/>
  <c r="G38" i="24"/>
  <c r="F38" i="24"/>
  <c r="G37" i="24"/>
  <c r="F37" i="24"/>
  <c r="G36" i="24"/>
  <c r="F36" i="24"/>
  <c r="G35" i="24"/>
  <c r="F35" i="24"/>
  <c r="G34" i="24"/>
  <c r="F34" i="24"/>
  <c r="G33" i="24"/>
  <c r="F33" i="24"/>
  <c r="G32" i="24"/>
  <c r="F32" i="24"/>
  <c r="G31" i="24"/>
  <c r="F31" i="24"/>
  <c r="G30" i="24"/>
  <c r="F30" i="24"/>
  <c r="G29" i="24"/>
  <c r="F29" i="24"/>
  <c r="G28" i="24"/>
  <c r="F28" i="24"/>
  <c r="G27" i="24"/>
  <c r="F27" i="24"/>
  <c r="G26" i="24"/>
  <c r="F26" i="24"/>
  <c r="G25" i="24"/>
  <c r="F25" i="24"/>
  <c r="G24" i="24"/>
  <c r="F24" i="24"/>
  <c r="G23" i="24"/>
  <c r="F23" i="24"/>
  <c r="G22" i="24"/>
  <c r="F22" i="24"/>
  <c r="G21" i="24"/>
  <c r="F21" i="24"/>
  <c r="G20" i="24"/>
  <c r="F20" i="24"/>
  <c r="G19" i="24"/>
  <c r="F19" i="24"/>
  <c r="G18" i="24"/>
  <c r="F18" i="24"/>
  <c r="G17" i="24"/>
  <c r="F17" i="24"/>
  <c r="G16" i="24"/>
  <c r="F16" i="24"/>
  <c r="G15" i="24"/>
  <c r="F15" i="24"/>
  <c r="G14" i="24"/>
  <c r="F14" i="24"/>
  <c r="G13" i="24"/>
  <c r="F13" i="24"/>
  <c r="G12" i="24"/>
  <c r="F12" i="24"/>
  <c r="G11" i="24"/>
  <c r="F11" i="24"/>
  <c r="G10" i="24"/>
  <c r="F10" i="24"/>
  <c r="G9" i="24"/>
  <c r="F9" i="24"/>
  <c r="G8" i="24"/>
  <c r="F8" i="24"/>
  <c r="G7" i="24"/>
  <c r="F7" i="24"/>
  <c r="D76" i="14"/>
  <c r="D73" i="14"/>
  <c r="D72" i="14"/>
  <c r="F76" i="14"/>
  <c r="E76" i="14"/>
  <c r="F73" i="14"/>
  <c r="F72" i="14"/>
  <c r="E73" i="14"/>
  <c r="E72" i="14"/>
  <c r="C76" i="14"/>
  <c r="C75" i="14"/>
  <c r="C73" i="14"/>
  <c r="C72" i="14"/>
  <c r="F66" i="14"/>
  <c r="E66" i="14"/>
  <c r="D66" i="14"/>
  <c r="C66" i="14"/>
  <c r="F49" i="14"/>
  <c r="E49" i="14"/>
  <c r="D49" i="14"/>
  <c r="F48" i="14"/>
  <c r="E48" i="14"/>
  <c r="D48" i="14"/>
  <c r="F47" i="14"/>
  <c r="E47" i="14"/>
  <c r="D47" i="14"/>
  <c r="E46" i="14"/>
  <c r="F45" i="14"/>
  <c r="E45" i="14"/>
  <c r="D45" i="14"/>
  <c r="C49" i="14"/>
  <c r="C48" i="14"/>
  <c r="C47" i="14"/>
  <c r="C46" i="14"/>
  <c r="C45" i="14"/>
  <c r="D30" i="14"/>
  <c r="D29" i="14"/>
  <c r="D28" i="14"/>
  <c r="D27" i="14"/>
  <c r="F30" i="14"/>
  <c r="F28" i="14"/>
  <c r="F27" i="14"/>
  <c r="E30" i="14"/>
  <c r="E28" i="14" l="1"/>
  <c r="E27" i="14"/>
  <c r="C30" i="14"/>
  <c r="C28" i="14"/>
  <c r="C27" i="14"/>
  <c r="D21" i="14"/>
  <c r="D20" i="14"/>
  <c r="D19" i="14"/>
  <c r="D18" i="14"/>
  <c r="D17" i="14"/>
  <c r="F21" i="14"/>
  <c r="F20" i="14"/>
  <c r="F19" i="14"/>
  <c r="F18" i="14"/>
  <c r="F17" i="14"/>
  <c r="E21" i="14"/>
  <c r="E20" i="14"/>
  <c r="E19" i="14"/>
  <c r="E18" i="14"/>
  <c r="E17" i="14"/>
  <c r="C21" i="14"/>
  <c r="C20" i="14"/>
  <c r="C19" i="14"/>
  <c r="C18" i="14"/>
  <c r="C17" i="14"/>
  <c r="D14" i="14"/>
  <c r="D13" i="14"/>
  <c r="D12" i="14"/>
  <c r="D10" i="14"/>
  <c r="F14" i="14"/>
  <c r="F13" i="14"/>
  <c r="F12" i="14"/>
  <c r="F11" i="14"/>
  <c r="F46" i="14" s="1"/>
  <c r="F10" i="14"/>
  <c r="E14" i="14"/>
  <c r="E13" i="14"/>
  <c r="E12" i="14"/>
  <c r="E11" i="14"/>
  <c r="E10" i="14"/>
  <c r="C14" i="14"/>
  <c r="C13" i="14"/>
  <c r="C12" i="14"/>
  <c r="C11" i="14"/>
  <c r="C10" i="14"/>
  <c r="D35" i="14"/>
  <c r="F35" i="14"/>
  <c r="D32" i="14"/>
  <c r="F32" i="14"/>
  <c r="E32" i="14"/>
  <c r="C32" i="14"/>
  <c r="D34" i="14"/>
  <c r="F34" i="14"/>
  <c r="E34" i="14"/>
  <c r="C34" i="14"/>
  <c r="D24" i="14"/>
  <c r="F24" i="14"/>
  <c r="E24" i="14"/>
  <c r="C24" i="14"/>
  <c r="D8" i="14"/>
  <c r="F8" i="14"/>
  <c r="E8" i="14"/>
  <c r="C8" i="14"/>
  <c r="D92" i="22"/>
  <c r="D91" i="22"/>
  <c r="D90" i="22"/>
  <c r="D89" i="22"/>
  <c r="D88" i="22"/>
  <c r="D87" i="22"/>
  <c r="D86" i="22"/>
  <c r="D85" i="22"/>
  <c r="F82" i="22"/>
  <c r="E82" i="22"/>
  <c r="F81" i="22"/>
  <c r="E81" i="22"/>
  <c r="F80" i="22"/>
  <c r="E80" i="22"/>
  <c r="F79" i="22"/>
  <c r="E79" i="22"/>
  <c r="F78" i="22"/>
  <c r="E78" i="22"/>
  <c r="F77" i="22"/>
  <c r="E77" i="22"/>
  <c r="F76" i="22"/>
  <c r="E76" i="22"/>
  <c r="F75" i="22"/>
  <c r="E75" i="22"/>
  <c r="F74" i="22"/>
  <c r="E74" i="22"/>
  <c r="F73" i="22"/>
  <c r="E73" i="22"/>
  <c r="F72" i="22"/>
  <c r="E72" i="22"/>
  <c r="F71" i="22"/>
  <c r="E71" i="22"/>
  <c r="F70" i="22"/>
  <c r="E70" i="22"/>
  <c r="F69" i="22"/>
  <c r="E69" i="22"/>
  <c r="F68" i="22"/>
  <c r="E68" i="22"/>
  <c r="F67" i="22"/>
  <c r="E67" i="22"/>
  <c r="F66" i="22"/>
  <c r="E66" i="22"/>
  <c r="F65" i="22"/>
  <c r="E65" i="22"/>
  <c r="F64" i="22"/>
  <c r="E64" i="22"/>
  <c r="D63" i="22"/>
  <c r="D82" i="22"/>
  <c r="D81" i="22"/>
  <c r="D80" i="22"/>
  <c r="D79" i="22"/>
  <c r="F124" i="26"/>
  <c r="D78" i="22"/>
  <c r="D77" i="22"/>
  <c r="D76" i="22"/>
  <c r="D75" i="22"/>
  <c r="D74" i="22"/>
  <c r="D73" i="22"/>
  <c r="D72" i="22"/>
  <c r="D71" i="22"/>
  <c r="D70" i="22"/>
  <c r="D69" i="22"/>
  <c r="D68" i="22"/>
  <c r="D67" i="22"/>
  <c r="D66" i="22"/>
  <c r="D65" i="22"/>
  <c r="D64" i="22"/>
  <c r="F62" i="22"/>
  <c r="E62" i="22"/>
  <c r="D62" i="22"/>
  <c r="E59" i="22"/>
  <c r="E58" i="22"/>
  <c r="E57" i="22"/>
  <c r="E56" i="22"/>
  <c r="F55" i="22"/>
  <c r="E55" i="22"/>
  <c r="F54" i="22"/>
  <c r="E54" i="22"/>
  <c r="E53" i="22"/>
  <c r="E52" i="22"/>
  <c r="E51" i="22"/>
  <c r="F50" i="22"/>
  <c r="E50" i="22"/>
  <c r="E49" i="22"/>
  <c r="E48" i="22"/>
  <c r="E47" i="22"/>
  <c r="F46" i="22"/>
  <c r="E46" i="22"/>
  <c r="E45" i="22"/>
  <c r="E44" i="22"/>
  <c r="E43" i="22"/>
  <c r="E42" i="22"/>
  <c r="F41" i="22"/>
  <c r="E41" i="22"/>
  <c r="E40" i="22"/>
  <c r="E39" i="22"/>
  <c r="E38" i="22"/>
  <c r="E37" i="22"/>
  <c r="E36" i="22"/>
  <c r="F35" i="22"/>
  <c r="E35" i="22"/>
  <c r="E34" i="22"/>
  <c r="E33" i="22"/>
  <c r="E32" i="22"/>
  <c r="E31" i="22"/>
  <c r="D59" i="22"/>
  <c r="D58" i="22"/>
  <c r="D57" i="22"/>
  <c r="D56" i="22"/>
  <c r="D55" i="22"/>
  <c r="D54" i="22"/>
  <c r="D53" i="22"/>
  <c r="D52" i="22"/>
  <c r="D51" i="22"/>
  <c r="D50" i="22"/>
  <c r="D49" i="22"/>
  <c r="D48" i="22"/>
  <c r="D47" i="22"/>
  <c r="D46" i="22"/>
  <c r="D45" i="22"/>
  <c r="D44" i="22"/>
  <c r="D43" i="22"/>
  <c r="D42" i="22"/>
  <c r="D41" i="22"/>
  <c r="D40" i="22"/>
  <c r="D39" i="22"/>
  <c r="D38" i="22"/>
  <c r="D37" i="22"/>
  <c r="D36" i="22"/>
  <c r="D35" i="22"/>
  <c r="D34" i="22"/>
  <c r="D33" i="22"/>
  <c r="D30" i="22" s="1"/>
  <c r="D32" i="22"/>
  <c r="D31" i="22"/>
  <c r="D11" i="14" l="1"/>
  <c r="D46" i="14" s="1"/>
  <c r="E29" i="22"/>
  <c r="E28" i="22"/>
  <c r="F27" i="22"/>
  <c r="E27" i="22"/>
  <c r="F26" i="22"/>
  <c r="E26" i="22"/>
  <c r="E25" i="22"/>
  <c r="E24" i="22"/>
  <c r="D28" i="22"/>
  <c r="D25" i="22"/>
  <c r="D29" i="22" l="1"/>
  <c r="D27" i="22"/>
  <c r="D26" i="22"/>
  <c r="D24" i="22"/>
  <c r="M19" i="26"/>
  <c r="L32" i="26"/>
  <c r="M27" i="26"/>
  <c r="L27" i="26"/>
  <c r="M26" i="26"/>
  <c r="L26" i="26"/>
  <c r="K27" i="26"/>
  <c r="K26" i="26"/>
  <c r="M20" i="26"/>
  <c r="M33" i="26" s="1"/>
  <c r="L20" i="26"/>
  <c r="L19" i="26"/>
  <c r="K20" i="26"/>
  <c r="K19" i="26"/>
  <c r="M13" i="26"/>
  <c r="L13" i="26"/>
  <c r="L33" i="26" s="1"/>
  <c r="M12" i="26"/>
  <c r="L12" i="26"/>
  <c r="K13" i="26"/>
  <c r="K33" i="26" s="1"/>
  <c r="K12" i="26"/>
  <c r="K32" i="26" s="1"/>
  <c r="D23" i="22" l="1"/>
  <c r="M32" i="26"/>
  <c r="H94" i="22"/>
  <c r="G94" i="22"/>
  <c r="H93" i="22"/>
  <c r="H92" i="22"/>
  <c r="G92" i="22"/>
  <c r="H91" i="22"/>
  <c r="G91" i="22"/>
  <c r="H90" i="22"/>
  <c r="G90" i="22"/>
  <c r="H89" i="22"/>
  <c r="G89" i="22"/>
  <c r="H88" i="22"/>
  <c r="G88" i="22"/>
  <c r="H87" i="22"/>
  <c r="G87" i="22"/>
  <c r="H86" i="22"/>
  <c r="G86" i="22"/>
  <c r="H85" i="22"/>
  <c r="G85" i="22"/>
  <c r="H82" i="22"/>
  <c r="G82" i="22"/>
  <c r="H81" i="22"/>
  <c r="G81" i="22"/>
  <c r="H80" i="22"/>
  <c r="G80" i="22"/>
  <c r="H79" i="22"/>
  <c r="G79" i="22"/>
  <c r="H78" i="22"/>
  <c r="G78" i="22"/>
  <c r="H77" i="22"/>
  <c r="G77" i="22"/>
  <c r="H76" i="22"/>
  <c r="G76" i="22"/>
  <c r="H75" i="22"/>
  <c r="G75" i="22"/>
  <c r="H74" i="22"/>
  <c r="G74" i="22"/>
  <c r="H73" i="22"/>
  <c r="G73" i="22"/>
  <c r="H72" i="22"/>
  <c r="G72" i="22"/>
  <c r="H71" i="22"/>
  <c r="G71" i="22"/>
  <c r="H70" i="22"/>
  <c r="G70" i="22"/>
  <c r="H69" i="22"/>
  <c r="G69" i="22"/>
  <c r="H68" i="22"/>
  <c r="G68" i="22"/>
  <c r="H67" i="22"/>
  <c r="G67" i="22"/>
  <c r="H66" i="22"/>
  <c r="G66" i="22"/>
  <c r="H65" i="22"/>
  <c r="G65" i="22"/>
  <c r="H62" i="22"/>
  <c r="G62" i="22"/>
  <c r="F93" i="22"/>
  <c r="G93" i="22" s="1"/>
  <c r="E93" i="22"/>
  <c r="D93" i="22"/>
  <c r="F18" i="26" l="1"/>
  <c r="H253" i="26"/>
  <c r="G253" i="26"/>
  <c r="H240" i="26"/>
  <c r="G240" i="26"/>
  <c r="H239" i="26"/>
  <c r="G239" i="26"/>
  <c r="H237" i="26"/>
  <c r="G237" i="26"/>
  <c r="H233" i="26"/>
  <c r="G233" i="26"/>
  <c r="H231" i="26"/>
  <c r="G231" i="26"/>
  <c r="H230" i="26"/>
  <c r="G230" i="26"/>
  <c r="H229" i="26"/>
  <c r="G229" i="26"/>
  <c r="H228" i="26"/>
  <c r="G228" i="26"/>
  <c r="H225" i="26"/>
  <c r="G225" i="26"/>
  <c r="H223" i="26"/>
  <c r="G223" i="26"/>
  <c r="H222" i="26"/>
  <c r="G222" i="26"/>
  <c r="H217" i="26"/>
  <c r="G217" i="26"/>
  <c r="H209" i="26"/>
  <c r="G209" i="26"/>
  <c r="H208" i="26"/>
  <c r="G208" i="26"/>
  <c r="H204" i="26"/>
  <c r="G204" i="26"/>
  <c r="H200" i="26"/>
  <c r="G200" i="26"/>
  <c r="H199" i="26"/>
  <c r="G199" i="26"/>
  <c r="H193" i="26"/>
  <c r="G193" i="26"/>
  <c r="H188" i="26"/>
  <c r="G188" i="26"/>
  <c r="H187" i="26"/>
  <c r="G187" i="26"/>
  <c r="H185" i="26"/>
  <c r="G185" i="26"/>
  <c r="H181" i="26"/>
  <c r="G181" i="26"/>
  <c r="H179" i="26"/>
  <c r="G179" i="26"/>
  <c r="H170" i="26"/>
  <c r="G170" i="26"/>
  <c r="H168" i="26"/>
  <c r="G168" i="26"/>
  <c r="H167" i="26"/>
  <c r="G167" i="26"/>
  <c r="H166" i="26"/>
  <c r="G166" i="26"/>
  <c r="H158" i="26"/>
  <c r="G158" i="26"/>
  <c r="H157" i="26"/>
  <c r="G157" i="26"/>
  <c r="H156" i="26"/>
  <c r="G156" i="26"/>
  <c r="H151" i="26"/>
  <c r="G151" i="26"/>
  <c r="H150" i="26"/>
  <c r="G150" i="26"/>
  <c r="H145" i="26"/>
  <c r="G145" i="26"/>
  <c r="H144" i="26"/>
  <c r="G144" i="26"/>
  <c r="H143" i="26"/>
  <c r="G143" i="26"/>
  <c r="H142" i="26"/>
  <c r="G142" i="26"/>
  <c r="H139" i="26"/>
  <c r="G139" i="26"/>
  <c r="H138" i="26"/>
  <c r="G138" i="26"/>
  <c r="H137" i="26"/>
  <c r="G137" i="26"/>
  <c r="H136" i="26"/>
  <c r="G136" i="26"/>
  <c r="H135" i="26"/>
  <c r="G135" i="26"/>
  <c r="H132" i="26"/>
  <c r="G132" i="26"/>
  <c r="H124" i="26"/>
  <c r="G124" i="26"/>
  <c r="H113" i="26"/>
  <c r="G113" i="26"/>
  <c r="H101" i="26"/>
  <c r="G101" i="26"/>
  <c r="H100" i="26"/>
  <c r="G100" i="26"/>
  <c r="H99" i="26"/>
  <c r="G99" i="26"/>
  <c r="H96" i="26"/>
  <c r="G96" i="26"/>
  <c r="H95" i="26"/>
  <c r="G95" i="26"/>
  <c r="H94" i="26"/>
  <c r="G94" i="26"/>
  <c r="H93" i="26"/>
  <c r="G93" i="26"/>
  <c r="H92" i="26"/>
  <c r="G92" i="26"/>
  <c r="H91" i="26"/>
  <c r="G91" i="26"/>
  <c r="H90" i="26"/>
  <c r="G90" i="26"/>
  <c r="H89" i="26"/>
  <c r="G89" i="26"/>
  <c r="H88" i="26"/>
  <c r="G88" i="26"/>
  <c r="H84" i="26"/>
  <c r="G84" i="26"/>
  <c r="H83" i="26"/>
  <c r="G83" i="26"/>
  <c r="H82" i="26"/>
  <c r="G82" i="26"/>
  <c r="H81" i="26"/>
  <c r="G81" i="26"/>
  <c r="H80" i="26"/>
  <c r="G80" i="26"/>
  <c r="H79" i="26"/>
  <c r="G79" i="26"/>
  <c r="H77" i="26"/>
  <c r="G77" i="26"/>
  <c r="H76" i="26"/>
  <c r="G76" i="26"/>
  <c r="H75" i="26"/>
  <c r="G75" i="26"/>
  <c r="H74" i="26"/>
  <c r="G74" i="26"/>
  <c r="H73" i="26"/>
  <c r="G73" i="26"/>
  <c r="H72" i="26"/>
  <c r="G72" i="26"/>
  <c r="H71" i="26"/>
  <c r="G71" i="26"/>
  <c r="H70" i="26"/>
  <c r="G70" i="26"/>
  <c r="H69" i="26"/>
  <c r="G69" i="26"/>
  <c r="H67" i="26"/>
  <c r="G67" i="26"/>
  <c r="H65" i="26"/>
  <c r="G65" i="26"/>
  <c r="H64" i="26"/>
  <c r="G64" i="26"/>
  <c r="H63" i="26"/>
  <c r="G63" i="26"/>
  <c r="H62" i="26"/>
  <c r="G62" i="26"/>
  <c r="H61" i="26"/>
  <c r="G61" i="26"/>
  <c r="H60" i="26"/>
  <c r="G60" i="26"/>
  <c r="H59" i="26"/>
  <c r="G59" i="26"/>
  <c r="H53" i="26"/>
  <c r="G53" i="26"/>
  <c r="H51" i="26"/>
  <c r="G51" i="26"/>
  <c r="H50" i="26"/>
  <c r="G50" i="26"/>
  <c r="H48" i="26"/>
  <c r="G48" i="26"/>
  <c r="H47" i="26"/>
  <c r="G47" i="26"/>
  <c r="H45" i="26"/>
  <c r="G45" i="26"/>
  <c r="H43" i="26"/>
  <c r="G43" i="26"/>
  <c r="H41" i="26"/>
  <c r="G41" i="26"/>
  <c r="H40" i="26"/>
  <c r="G40" i="26"/>
  <c r="H39" i="26"/>
  <c r="G39" i="26"/>
  <c r="H35" i="26"/>
  <c r="G35" i="26"/>
  <c r="H33" i="26"/>
  <c r="G33" i="26"/>
  <c r="H32" i="26"/>
  <c r="G32" i="26"/>
  <c r="H30" i="26"/>
  <c r="G30" i="26"/>
  <c r="H24" i="26"/>
  <c r="G24" i="26"/>
  <c r="G18" i="26"/>
  <c r="H17" i="26"/>
  <c r="G17" i="26"/>
  <c r="H16" i="26"/>
  <c r="G16" i="26"/>
  <c r="H15" i="26"/>
  <c r="G15" i="26"/>
  <c r="H14" i="26"/>
  <c r="G14" i="26"/>
  <c r="H13" i="26"/>
  <c r="G13" i="26"/>
  <c r="H12" i="26"/>
  <c r="G12" i="26"/>
  <c r="H18" i="26" l="1"/>
  <c r="E165" i="26" l="1"/>
  <c r="D165" i="26"/>
  <c r="D90" i="14"/>
  <c r="D91" i="14"/>
  <c r="D92" i="14"/>
  <c r="F117" i="26"/>
  <c r="F116" i="26"/>
  <c r="F68" i="26"/>
  <c r="F115" i="26"/>
  <c r="F107" i="26"/>
  <c r="F106" i="26"/>
  <c r="F118" i="26"/>
  <c r="F114" i="26"/>
  <c r="F112" i="26"/>
  <c r="F111" i="26"/>
  <c r="F110" i="26"/>
  <c r="F109" i="26"/>
  <c r="F126" i="26"/>
  <c r="F125" i="26"/>
  <c r="F123" i="26"/>
  <c r="F122" i="26"/>
  <c r="F121" i="26"/>
  <c r="F163" i="26"/>
  <c r="F186" i="26"/>
  <c r="F174" i="26"/>
  <c r="F182" i="26"/>
  <c r="F172" i="26"/>
  <c r="F180" i="26"/>
  <c r="F169" i="26"/>
  <c r="F171" i="26"/>
  <c r="F164" i="26"/>
  <c r="F175" i="26"/>
  <c r="F173" i="26"/>
  <c r="F184" i="26"/>
  <c r="F183" i="26"/>
  <c r="F178" i="26"/>
  <c r="F31" i="26"/>
  <c r="F23" i="26"/>
  <c r="F21" i="26"/>
  <c r="F26" i="26"/>
  <c r="H121" i="26" l="1"/>
  <c r="G121" i="26"/>
  <c r="H31" i="26"/>
  <c r="G31" i="26"/>
  <c r="H164" i="26"/>
  <c r="G164" i="26"/>
  <c r="H174" i="26"/>
  <c r="G174" i="26"/>
  <c r="H125" i="26"/>
  <c r="G125" i="26"/>
  <c r="F48" i="22"/>
  <c r="H114" i="26"/>
  <c r="G114" i="26"/>
  <c r="F52" i="22"/>
  <c r="H116" i="26"/>
  <c r="G116" i="26"/>
  <c r="H178" i="26"/>
  <c r="G178" i="26"/>
  <c r="H171" i="26"/>
  <c r="G171" i="26"/>
  <c r="H186" i="26"/>
  <c r="G186" i="26"/>
  <c r="H126" i="26"/>
  <c r="G126" i="26"/>
  <c r="F58" i="22"/>
  <c r="H118" i="26"/>
  <c r="G118" i="26"/>
  <c r="F53" i="22"/>
  <c r="H117" i="26"/>
  <c r="G117" i="26"/>
  <c r="H183" i="26"/>
  <c r="G183" i="26"/>
  <c r="H169" i="26"/>
  <c r="G169" i="26"/>
  <c r="H163" i="26"/>
  <c r="G163" i="26"/>
  <c r="H109" i="26"/>
  <c r="G109" i="26"/>
  <c r="H106" i="26"/>
  <c r="G106" i="26"/>
  <c r="H26" i="26"/>
  <c r="G26" i="26"/>
  <c r="H180" i="26"/>
  <c r="G180" i="26"/>
  <c r="H107" i="26"/>
  <c r="G107" i="26"/>
  <c r="H173" i="26"/>
  <c r="G173" i="26"/>
  <c r="H172" i="26"/>
  <c r="G172" i="26"/>
  <c r="H122" i="26"/>
  <c r="G122" i="26"/>
  <c r="F44" i="22"/>
  <c r="H111" i="26"/>
  <c r="G111" i="26"/>
  <c r="F51" i="22"/>
  <c r="H115" i="26"/>
  <c r="G115" i="26"/>
  <c r="H184" i="26"/>
  <c r="G184" i="26"/>
  <c r="H110" i="26"/>
  <c r="G110" i="26"/>
  <c r="F32" i="22"/>
  <c r="H21" i="26"/>
  <c r="G21" i="26"/>
  <c r="F34" i="22"/>
  <c r="H23" i="26"/>
  <c r="G23" i="26"/>
  <c r="H175" i="26"/>
  <c r="G175" i="26"/>
  <c r="H182" i="26"/>
  <c r="G182" i="26"/>
  <c r="H123" i="26"/>
  <c r="G123" i="26"/>
  <c r="F49" i="22"/>
  <c r="H112" i="26"/>
  <c r="G112" i="26"/>
  <c r="F40" i="22"/>
  <c r="H68" i="26"/>
  <c r="G68" i="26"/>
  <c r="F108" i="26"/>
  <c r="F177" i="26"/>
  <c r="F162" i="26"/>
  <c r="F165" i="26"/>
  <c r="D96" i="14"/>
  <c r="D95" i="14"/>
  <c r="D94" i="14"/>
  <c r="D89" i="14"/>
  <c r="H165" i="26" l="1"/>
  <c r="G165" i="26"/>
  <c r="H162" i="26"/>
  <c r="G162" i="26"/>
  <c r="F161" i="26"/>
  <c r="N8" i="9"/>
  <c r="N9" i="9"/>
  <c r="N10" i="9"/>
  <c r="N11" i="9"/>
  <c r="N12" i="9"/>
  <c r="N13" i="9"/>
  <c r="N14" i="9"/>
  <c r="N15" i="9"/>
  <c r="N17" i="9"/>
  <c r="N18" i="9"/>
  <c r="N19" i="9"/>
  <c r="N20" i="9"/>
  <c r="N21" i="9"/>
  <c r="N22" i="9"/>
  <c r="N23" i="9"/>
  <c r="N24" i="9"/>
  <c r="N25" i="9"/>
  <c r="N26" i="9"/>
  <c r="N27" i="9"/>
  <c r="N28" i="9"/>
  <c r="N29" i="9"/>
  <c r="N30" i="9"/>
  <c r="N31" i="9"/>
  <c r="N32" i="9"/>
  <c r="N33" i="9"/>
  <c r="N34" i="9"/>
  <c r="N35" i="9"/>
  <c r="N36" i="9"/>
  <c r="N37" i="9"/>
  <c r="N38" i="9"/>
  <c r="N39" i="9"/>
  <c r="N40" i="9"/>
  <c r="N41" i="9"/>
  <c r="N42" i="9"/>
  <c r="N44" i="9"/>
  <c r="N45" i="9"/>
  <c r="N46" i="9"/>
  <c r="N47" i="9"/>
  <c r="N48" i="9"/>
  <c r="N49" i="9"/>
  <c r="N50" i="9"/>
  <c r="N51" i="9"/>
  <c r="N52" i="9"/>
  <c r="N53" i="9"/>
  <c r="N54" i="9"/>
  <c r="N55" i="9"/>
  <c r="N56" i="9"/>
  <c r="N57" i="9"/>
  <c r="N58" i="9"/>
  <c r="N59" i="9"/>
  <c r="N60" i="9"/>
  <c r="N61" i="9"/>
  <c r="N62" i="9"/>
  <c r="N63" i="9"/>
  <c r="N64" i="9"/>
  <c r="N66" i="9"/>
  <c r="N67" i="9"/>
  <c r="N68" i="9"/>
  <c r="N69" i="9"/>
  <c r="N70" i="9"/>
  <c r="N71" i="9"/>
  <c r="N72" i="9"/>
  <c r="N73" i="9"/>
  <c r="N74" i="9"/>
  <c r="N75" i="9"/>
  <c r="N76" i="9"/>
  <c r="N77" i="9"/>
  <c r="N78" i="9"/>
  <c r="N79" i="9"/>
  <c r="N80" i="9"/>
  <c r="N81" i="9"/>
  <c r="N82" i="9"/>
  <c r="N83" i="9"/>
  <c r="N84" i="9"/>
  <c r="N85" i="9"/>
  <c r="N86" i="9"/>
  <c r="N87" i="9"/>
  <c r="N88" i="9"/>
  <c r="N89" i="9"/>
  <c r="N90" i="9"/>
  <c r="N91" i="9"/>
  <c r="N92" i="9"/>
  <c r="N93" i="9"/>
  <c r="N94" i="9"/>
  <c r="N95" i="9"/>
  <c r="N96" i="9"/>
  <c r="N97" i="9"/>
  <c r="N98" i="9"/>
  <c r="N99" i="9"/>
  <c r="N100" i="9"/>
  <c r="N101" i="9"/>
  <c r="N102" i="9"/>
  <c r="N103" i="9"/>
  <c r="N104" i="9"/>
  <c r="N105" i="9"/>
  <c r="N106" i="9"/>
  <c r="N107" i="9"/>
  <c r="N108" i="9"/>
  <c r="N109" i="9"/>
  <c r="N110" i="9"/>
  <c r="N111" i="9"/>
  <c r="N112" i="9"/>
  <c r="N113" i="9"/>
  <c r="N114" i="9"/>
  <c r="N115" i="9"/>
  <c r="N116" i="9"/>
  <c r="N117" i="9"/>
  <c r="N118" i="9"/>
  <c r="N119" i="9"/>
  <c r="N120" i="9"/>
  <c r="N121" i="9"/>
  <c r="N122" i="9"/>
  <c r="N65" i="9"/>
  <c r="F43" i="9"/>
  <c r="G43" i="9"/>
  <c r="H43" i="9"/>
  <c r="N43" i="9" s="1"/>
  <c r="I43" i="9"/>
  <c r="J43" i="9"/>
  <c r="K43" i="9"/>
  <c r="L43" i="9"/>
  <c r="E43" i="9"/>
  <c r="I7" i="9"/>
  <c r="J7" i="9"/>
  <c r="K7" i="9"/>
  <c r="L7" i="9"/>
  <c r="H7" i="9"/>
  <c r="E61" i="24" l="1"/>
  <c r="E6" i="24"/>
  <c r="F250" i="26" l="1"/>
  <c r="I194" i="26"/>
  <c r="F198" i="26"/>
  <c r="F201" i="26"/>
  <c r="F224" i="26"/>
  <c r="H198" i="26" l="1"/>
  <c r="G198" i="26"/>
  <c r="H250" i="26"/>
  <c r="G250" i="26"/>
  <c r="H224" i="26"/>
  <c r="G224" i="26"/>
  <c r="H201" i="26"/>
  <c r="G201" i="26"/>
  <c r="F29" i="22"/>
  <c r="I218" i="26"/>
  <c r="G13" i="22"/>
  <c r="H13" i="22"/>
  <c r="F149" i="26"/>
  <c r="F133" i="26"/>
  <c r="F131" i="26"/>
  <c r="F24" i="22" l="1"/>
  <c r="H131" i="26"/>
  <c r="G131" i="26"/>
  <c r="H133" i="26"/>
  <c r="G133" i="26"/>
  <c r="F11" i="26"/>
  <c r="F120" i="26" l="1"/>
  <c r="F98" i="26"/>
  <c r="I54" i="26"/>
  <c r="F78" i="26"/>
  <c r="F57" i="22" l="1"/>
  <c r="H78" i="26"/>
  <c r="G78" i="26"/>
  <c r="F10" i="26"/>
  <c r="F52" i="26"/>
  <c r="F10" i="22"/>
  <c r="F205" i="26"/>
  <c r="F212" i="26"/>
  <c r="F207" i="26"/>
  <c r="F206" i="26"/>
  <c r="F202" i="26"/>
  <c r="H205" i="26" l="1"/>
  <c r="G205" i="26"/>
  <c r="H206" i="26"/>
  <c r="G206" i="26"/>
  <c r="F47" i="22"/>
  <c r="H202" i="26"/>
  <c r="G202" i="26"/>
  <c r="F28" i="22"/>
  <c r="F49" i="26"/>
  <c r="H207" i="26"/>
  <c r="G207" i="26"/>
  <c r="F38" i="22"/>
  <c r="H212" i="26"/>
  <c r="G212" i="26"/>
  <c r="F85" i="26"/>
  <c r="F58" i="26"/>
  <c r="H58" i="26" l="1"/>
  <c r="G58" i="26"/>
  <c r="F25" i="22"/>
  <c r="F66" i="26"/>
  <c r="F59" i="22"/>
  <c r="H85" i="26"/>
  <c r="G85" i="26"/>
  <c r="F87" i="26"/>
  <c r="F245" i="26"/>
  <c r="F227" i="26"/>
  <c r="F242" i="26"/>
  <c r="F241" i="26"/>
  <c r="F238" i="26"/>
  <c r="F236" i="26"/>
  <c r="F232" i="26"/>
  <c r="H232" i="26" l="1"/>
  <c r="G232" i="26"/>
  <c r="H241" i="26"/>
  <c r="G241" i="26"/>
  <c r="H245" i="26"/>
  <c r="G245" i="26"/>
  <c r="H236" i="26"/>
  <c r="G236" i="26"/>
  <c r="H238" i="26"/>
  <c r="G238" i="26"/>
  <c r="H242" i="26"/>
  <c r="G242" i="26"/>
  <c r="F43" i="22"/>
  <c r="H227" i="26"/>
  <c r="G227" i="26"/>
  <c r="F38" i="26"/>
  <c r="F46" i="26"/>
  <c r="F28" i="26"/>
  <c r="F44" i="26"/>
  <c r="F25" i="26"/>
  <c r="F22" i="26"/>
  <c r="F20" i="26"/>
  <c r="F36" i="26"/>
  <c r="F34" i="26"/>
  <c r="F29" i="26"/>
  <c r="F27" i="26"/>
  <c r="F36" i="22" l="1"/>
  <c r="H25" i="26"/>
  <c r="G25" i="26"/>
  <c r="F37" i="22"/>
  <c r="H28" i="26"/>
  <c r="G28" i="26"/>
  <c r="F56" i="22"/>
  <c r="H36" i="26"/>
  <c r="G36" i="26"/>
  <c r="H46" i="26"/>
  <c r="G46" i="26"/>
  <c r="F31" i="22"/>
  <c r="H20" i="26"/>
  <c r="G20" i="26"/>
  <c r="F39" i="22"/>
  <c r="H27" i="26"/>
  <c r="G27" i="26"/>
  <c r="F45" i="22"/>
  <c r="H29" i="26"/>
  <c r="G29" i="26"/>
  <c r="H44" i="26"/>
  <c r="G44" i="26"/>
  <c r="F42" i="22"/>
  <c r="H34" i="26"/>
  <c r="G34" i="26"/>
  <c r="M18" i="26"/>
  <c r="F33" i="22"/>
  <c r="H22" i="26"/>
  <c r="G22" i="26"/>
  <c r="F42" i="26"/>
  <c r="F19" i="26"/>
  <c r="C6" i="24"/>
  <c r="D6" i="24"/>
  <c r="F37" i="26" l="1"/>
  <c r="F9" i="26"/>
  <c r="E38" i="26"/>
  <c r="E84" i="22"/>
  <c r="E30" i="22"/>
  <c r="G46" i="22"/>
  <c r="H46" i="22"/>
  <c r="E10" i="22"/>
  <c r="F7" i="26" l="1"/>
  <c r="L18" i="26"/>
  <c r="H38" i="26"/>
  <c r="G38" i="26"/>
  <c r="G7" i="9"/>
  <c r="D10" i="22" l="1"/>
  <c r="D221" i="26"/>
  <c r="D57" i="26"/>
  <c r="D42" i="26"/>
  <c r="D38" i="26"/>
  <c r="K18" i="26" s="1"/>
  <c r="C189" i="24"/>
  <c r="C192" i="24"/>
  <c r="C61" i="24"/>
  <c r="C5" i="24" l="1"/>
  <c r="E7" i="9"/>
  <c r="D19" i="22" l="1"/>
  <c r="F81" i="14" l="1"/>
  <c r="D81" i="14" l="1"/>
  <c r="D93" i="14" s="1"/>
  <c r="C81" i="14"/>
  <c r="D149" i="26" l="1"/>
  <c r="E149" i="26"/>
  <c r="D105" i="26"/>
  <c r="E105" i="26"/>
  <c r="D108" i="26"/>
  <c r="E108" i="26"/>
  <c r="D120" i="26"/>
  <c r="D119" i="26" s="1"/>
  <c r="E120" i="26"/>
  <c r="F119" i="26"/>
  <c r="F105" i="26"/>
  <c r="G149" i="26" l="1"/>
  <c r="H149" i="26"/>
  <c r="G108" i="26"/>
  <c r="H108" i="26"/>
  <c r="H105" i="26"/>
  <c r="G105" i="26"/>
  <c r="E119" i="26"/>
  <c r="G120" i="26"/>
  <c r="H120" i="26"/>
  <c r="H119" i="26"/>
  <c r="G119" i="26"/>
  <c r="F104" i="26"/>
  <c r="D104" i="26"/>
  <c r="D102" i="26" s="1"/>
  <c r="E104" i="26"/>
  <c r="E102" i="26" s="1"/>
  <c r="F102" i="26" l="1"/>
  <c r="H104" i="26"/>
  <c r="G104" i="26"/>
  <c r="H102" i="26"/>
  <c r="G102" i="26"/>
  <c r="F203" i="26"/>
  <c r="F197" i="26"/>
  <c r="F155" i="26"/>
  <c r="F141" i="26"/>
  <c r="F134" i="26"/>
  <c r="F130" i="26"/>
  <c r="F226" i="26"/>
  <c r="H197" i="26" l="1"/>
  <c r="G197" i="26"/>
  <c r="M15" i="26"/>
  <c r="H203" i="26"/>
  <c r="G203" i="26"/>
  <c r="F129" i="26"/>
  <c r="F211" i="26"/>
  <c r="D203" i="26"/>
  <c r="E203" i="26"/>
  <c r="F210" i="26" l="1"/>
  <c r="H211" i="26"/>
  <c r="G211" i="26"/>
  <c r="F86" i="26"/>
  <c r="F244" i="26"/>
  <c r="H210" i="26" l="1"/>
  <c r="G210" i="26"/>
  <c r="H244" i="26"/>
  <c r="G244" i="26"/>
  <c r="F7" i="9"/>
  <c r="N7" i="9" s="1"/>
  <c r="E134" i="26" l="1"/>
  <c r="D134" i="26"/>
  <c r="D98" i="26"/>
  <c r="E98" i="26"/>
  <c r="G48" i="22"/>
  <c r="H48" i="22"/>
  <c r="H98" i="26" l="1"/>
  <c r="G98" i="26"/>
  <c r="H134" i="26"/>
  <c r="G134" i="26"/>
  <c r="D97" i="26"/>
  <c r="M124" i="9" l="1"/>
  <c r="M90" i="9"/>
  <c r="M89" i="9"/>
  <c r="M88" i="9"/>
  <c r="M87" i="9"/>
  <c r="M86" i="9"/>
  <c r="M72" i="9"/>
  <c r="M71" i="9"/>
  <c r="M70" i="9"/>
  <c r="M69" i="9"/>
  <c r="M68" i="9"/>
  <c r="M67" i="9"/>
  <c r="M66" i="9"/>
  <c r="M65" i="9"/>
  <c r="E9" i="14"/>
  <c r="M43" i="9" l="1"/>
  <c r="H25" i="22"/>
  <c r="H26" i="22"/>
  <c r="H27" i="22"/>
  <c r="H29" i="22"/>
  <c r="G29" i="22"/>
  <c r="H28" i="22"/>
  <c r="G28" i="22"/>
  <c r="G27" i="22"/>
  <c r="G26" i="22"/>
  <c r="G25" i="22"/>
  <c r="H59" i="22"/>
  <c r="G59" i="22"/>
  <c r="H58" i="22"/>
  <c r="G58" i="22"/>
  <c r="H57" i="22"/>
  <c r="G57" i="22"/>
  <c r="H56" i="22"/>
  <c r="G56" i="22"/>
  <c r="H55" i="22"/>
  <c r="G55" i="22"/>
  <c r="H54" i="22"/>
  <c r="G54" i="22"/>
  <c r="H53" i="22"/>
  <c r="G53" i="22"/>
  <c r="H52" i="22"/>
  <c r="G52" i="22"/>
  <c r="H51" i="22"/>
  <c r="G51" i="22"/>
  <c r="H50" i="22"/>
  <c r="G50" i="22"/>
  <c r="H49" i="22"/>
  <c r="G49" i="22"/>
  <c r="H47" i="22"/>
  <c r="G47" i="22"/>
  <c r="H45" i="22"/>
  <c r="G45" i="22"/>
  <c r="H44" i="22"/>
  <c r="G44" i="22"/>
  <c r="H43" i="22"/>
  <c r="G43" i="22"/>
  <c r="H42" i="22"/>
  <c r="G42" i="22"/>
  <c r="H41" i="22"/>
  <c r="G41" i="22"/>
  <c r="H40" i="22"/>
  <c r="G40" i="22"/>
  <c r="H39" i="22"/>
  <c r="G39" i="22"/>
  <c r="H38" i="22"/>
  <c r="G38" i="22"/>
  <c r="H37" i="22"/>
  <c r="G37" i="22"/>
  <c r="H36" i="22"/>
  <c r="G36" i="22"/>
  <c r="H35" i="22"/>
  <c r="G35" i="22"/>
  <c r="H34" i="22"/>
  <c r="G34" i="22"/>
  <c r="H33" i="22"/>
  <c r="G33" i="22"/>
  <c r="H32" i="22"/>
  <c r="G32" i="22"/>
  <c r="E130" i="26"/>
  <c r="D235" i="26"/>
  <c r="D234" i="26" s="1"/>
  <c r="D226" i="26"/>
  <c r="D216" i="26"/>
  <c r="D197" i="26"/>
  <c r="D155" i="26"/>
  <c r="D141" i="26"/>
  <c r="D130" i="26"/>
  <c r="D87" i="26"/>
  <c r="E66" i="26"/>
  <c r="D66" i="26"/>
  <c r="D37" i="26"/>
  <c r="D19" i="26"/>
  <c r="E10" i="26"/>
  <c r="D10" i="26"/>
  <c r="K11" i="26" s="1"/>
  <c r="K31" i="26" s="1"/>
  <c r="K15" i="26" l="1"/>
  <c r="H130" i="26"/>
  <c r="G130" i="26"/>
  <c r="G66" i="26"/>
  <c r="H66" i="26"/>
  <c r="D86" i="26"/>
  <c r="D9" i="26"/>
  <c r="F86" i="14" l="1"/>
  <c r="F19" i="22" l="1"/>
  <c r="F30" i="22"/>
  <c r="I30" i="22" l="1"/>
  <c r="F192" i="26" l="1"/>
  <c r="H192" i="26" l="1"/>
  <c r="G192" i="26"/>
  <c r="M29" i="26"/>
  <c r="I84" i="22" s="1"/>
  <c r="F191" i="26"/>
  <c r="H191" i="26" l="1"/>
  <c r="G191" i="26"/>
  <c r="F189" i="26"/>
  <c r="E91" i="14"/>
  <c r="E95" i="14" s="1"/>
  <c r="E92" i="14"/>
  <c r="E96" i="14" s="1"/>
  <c r="E90" i="14"/>
  <c r="E94" i="14" s="1"/>
  <c r="H189" i="26" l="1"/>
  <c r="G189" i="26"/>
  <c r="F57" i="26"/>
  <c r="F56" i="26" l="1"/>
  <c r="F87" i="14" l="1"/>
  <c r="F88" i="14"/>
  <c r="C91" i="14"/>
  <c r="C95" i="14" s="1"/>
  <c r="C92" i="14"/>
  <c r="C96" i="14" s="1"/>
  <c r="C90" i="14"/>
  <c r="C94" i="14" s="1"/>
  <c r="D61" i="24" l="1"/>
  <c r="E177" i="26" l="1"/>
  <c r="E19" i="26"/>
  <c r="H19" i="26" l="1"/>
  <c r="G19" i="26"/>
  <c r="H177" i="26"/>
  <c r="G177" i="26"/>
  <c r="D244" i="26"/>
  <c r="D243" i="26" s="1"/>
  <c r="D56" i="26" l="1"/>
  <c r="D54" i="26" l="1"/>
  <c r="F23" i="22"/>
  <c r="E23" i="22"/>
  <c r="F235" i="26" l="1"/>
  <c r="F221" i="26"/>
  <c r="D220" i="26"/>
  <c r="D196" i="26"/>
  <c r="D194" i="26" s="1"/>
  <c r="E87" i="26"/>
  <c r="E57" i="26"/>
  <c r="H11" i="26"/>
  <c r="G11" i="26"/>
  <c r="H57" i="26" l="1"/>
  <c r="G57" i="26"/>
  <c r="E86" i="26"/>
  <c r="G87" i="26"/>
  <c r="H87" i="26"/>
  <c r="M22" i="26"/>
  <c r="M35" i="26" s="1"/>
  <c r="F234" i="26"/>
  <c r="F220" i="26"/>
  <c r="H86" i="26" l="1"/>
  <c r="G86" i="26"/>
  <c r="D59" i="14"/>
  <c r="F84" i="22" l="1"/>
  <c r="F63" i="22"/>
  <c r="H84" i="22" l="1"/>
  <c r="G84" i="22"/>
  <c r="C89" i="14"/>
  <c r="C93" i="14" s="1"/>
  <c r="F90" i="14" l="1"/>
  <c r="F94" i="14" s="1"/>
  <c r="N124" i="9" l="1"/>
  <c r="H123" i="9"/>
  <c r="I123" i="9"/>
  <c r="J123" i="9"/>
  <c r="K123" i="9"/>
  <c r="L123" i="9"/>
  <c r="G123" i="9"/>
  <c r="M123" i="9" l="1"/>
  <c r="H125" i="9"/>
  <c r="N123" i="9"/>
  <c r="J125" i="9"/>
  <c r="K125" i="9"/>
  <c r="L125" i="9"/>
  <c r="E192" i="24" l="1"/>
  <c r="D192" i="24" l="1"/>
  <c r="E141" i="26" l="1"/>
  <c r="E140" i="26" l="1"/>
  <c r="H141" i="26"/>
  <c r="G141" i="26"/>
  <c r="E129" i="26"/>
  <c r="H129" i="26" l="1"/>
  <c r="G129" i="26"/>
  <c r="H75" i="14"/>
  <c r="G75" i="14"/>
  <c r="H74" i="14"/>
  <c r="G74" i="14"/>
  <c r="E61" i="22" l="1"/>
  <c r="E7" i="22" l="1"/>
  <c r="D7" i="22"/>
  <c r="F216" i="26" l="1"/>
  <c r="E216" i="26"/>
  <c r="E213" i="26"/>
  <c r="I23" i="22" l="1"/>
  <c r="H216" i="26"/>
  <c r="G216" i="26"/>
  <c r="M11" i="26"/>
  <c r="M31" i="26" s="1"/>
  <c r="E214" i="26"/>
  <c r="D215" i="26"/>
  <c r="D213" i="26" s="1"/>
  <c r="F215" i="26"/>
  <c r="H214" i="26" l="1"/>
  <c r="G214" i="26"/>
  <c r="H215" i="26"/>
  <c r="G215" i="26"/>
  <c r="F213" i="26"/>
  <c r="H213" i="26" l="1"/>
  <c r="G213" i="26"/>
  <c r="E89" i="14"/>
  <c r="F53" i="14" l="1"/>
  <c r="H76" i="14" l="1"/>
  <c r="G76" i="14"/>
  <c r="E146" i="26" l="1"/>
  <c r="E42" i="26" l="1"/>
  <c r="G125" i="9"/>
  <c r="E37" i="26" l="1"/>
  <c r="H42" i="26"/>
  <c r="G42" i="26"/>
  <c r="N125" i="9"/>
  <c r="E9" i="26"/>
  <c r="E56" i="26"/>
  <c r="H56" i="26" l="1"/>
  <c r="G56" i="26"/>
  <c r="H37" i="26"/>
  <c r="G37" i="26"/>
  <c r="E5" i="24"/>
  <c r="E63" i="22" l="1"/>
  <c r="H63" i="22" l="1"/>
  <c r="G63" i="22"/>
  <c r="D192" i="26"/>
  <c r="D191" i="26" s="1"/>
  <c r="D189" i="26" s="1"/>
  <c r="E52" i="26"/>
  <c r="D52" i="26"/>
  <c r="K29" i="26" s="1"/>
  <c r="G52" i="26" l="1"/>
  <c r="H52" i="26"/>
  <c r="D49" i="26"/>
  <c r="F60" i="14" l="1"/>
  <c r="F67" i="14" l="1"/>
  <c r="F61" i="22" l="1"/>
  <c r="F97" i="26" l="1"/>
  <c r="F54" i="26" l="1"/>
  <c r="C22" i="14" l="1"/>
  <c r="G67" i="14" l="1"/>
  <c r="G65" i="14"/>
  <c r="G63" i="14"/>
  <c r="G62" i="14"/>
  <c r="G61" i="14"/>
  <c r="G60" i="14"/>
  <c r="G58" i="14"/>
  <c r="G56" i="14"/>
  <c r="G54" i="14"/>
  <c r="G53" i="14"/>
  <c r="H77" i="14"/>
  <c r="G77" i="14"/>
  <c r="H20" i="22" l="1"/>
  <c r="G20" i="22"/>
  <c r="H18" i="22"/>
  <c r="G18" i="22"/>
  <c r="H15" i="22"/>
  <c r="G15" i="22"/>
  <c r="H14" i="22"/>
  <c r="G14" i="22"/>
  <c r="H12" i="22"/>
  <c r="G12" i="22"/>
  <c r="H11" i="22"/>
  <c r="G11" i="22"/>
  <c r="H9" i="22"/>
  <c r="G9" i="22"/>
  <c r="F41" i="14" l="1"/>
  <c r="H16" i="22" l="1"/>
  <c r="G16" i="22"/>
  <c r="F125" i="9" l="1"/>
  <c r="I125" i="9"/>
  <c r="E125" i="9"/>
  <c r="H72" i="14" l="1"/>
  <c r="G72" i="14"/>
  <c r="G73" i="14"/>
  <c r="H73" i="14"/>
  <c r="F92" i="14" l="1"/>
  <c r="F96" i="14" s="1"/>
  <c r="F91" i="14"/>
  <c r="F95" i="14" s="1"/>
  <c r="F38" i="14"/>
  <c r="F243" i="26" l="1"/>
  <c r="F196" i="26"/>
  <c r="F252" i="26"/>
  <c r="M21" i="26" l="1"/>
  <c r="F194" i="26"/>
  <c r="H196" i="26"/>
  <c r="G196" i="26"/>
  <c r="F218" i="26"/>
  <c r="H243" i="26"/>
  <c r="G243" i="26"/>
  <c r="F251" i="26"/>
  <c r="I213" i="26" l="1"/>
  <c r="H194" i="26"/>
  <c r="G194" i="26"/>
  <c r="E194" i="26"/>
  <c r="D252" i="26"/>
  <c r="K21" i="26" s="1"/>
  <c r="E252" i="26" l="1"/>
  <c r="L21" i="26" l="1"/>
  <c r="H252" i="26"/>
  <c r="G252" i="26"/>
  <c r="E251" i="26"/>
  <c r="H251" i="26" l="1"/>
  <c r="G251" i="26"/>
  <c r="E49" i="26"/>
  <c r="H49" i="26" l="1"/>
  <c r="G49" i="26"/>
  <c r="E7" i="26"/>
  <c r="E97" i="26" l="1"/>
  <c r="H97" i="26" l="1"/>
  <c r="G97" i="26"/>
  <c r="E54" i="26"/>
  <c r="H54" i="26" l="1"/>
  <c r="G54" i="26"/>
  <c r="D61" i="22"/>
  <c r="D84" i="22"/>
  <c r="D148" i="26" l="1"/>
  <c r="D146" i="26" s="1"/>
  <c r="H64" i="22" l="1"/>
  <c r="G64" i="22"/>
  <c r="H31" i="22"/>
  <c r="G31" i="22"/>
  <c r="H24" i="22"/>
  <c r="G24" i="22"/>
  <c r="H8" i="22" l="1"/>
  <c r="G8" i="22"/>
  <c r="F148" i="26" l="1"/>
  <c r="F146" i="26" l="1"/>
  <c r="H148" i="26"/>
  <c r="G148" i="26"/>
  <c r="D251" i="26"/>
  <c r="H146" i="26" l="1"/>
  <c r="G146" i="26"/>
  <c r="G66" i="14"/>
  <c r="F59" i="14"/>
  <c r="C59" i="14"/>
  <c r="C57" i="14" s="1"/>
  <c r="F55" i="14"/>
  <c r="G55" i="14" s="1"/>
  <c r="C55" i="14"/>
  <c r="F89" i="14"/>
  <c r="F93" i="14" s="1"/>
  <c r="G49" i="14"/>
  <c r="F23" i="14"/>
  <c r="F26" i="14"/>
  <c r="F33" i="14"/>
  <c r="F37" i="14"/>
  <c r="F40" i="14"/>
  <c r="G59" i="14" l="1"/>
  <c r="H59" i="14"/>
  <c r="E19" i="22"/>
  <c r="D249" i="26" l="1"/>
  <c r="K14" i="26" s="1"/>
  <c r="K34" i="26" s="1"/>
  <c r="E249" i="26"/>
  <c r="L14" i="26" s="1"/>
  <c r="L34" i="26" s="1"/>
  <c r="E248" i="26" l="1"/>
  <c r="E246" i="26" s="1"/>
  <c r="D248" i="26"/>
  <c r="D246" i="26" s="1"/>
  <c r="H34" i="14" l="1"/>
  <c r="H19" i="22" l="1"/>
  <c r="G19" i="22"/>
  <c r="D161" i="26" l="1"/>
  <c r="E226" i="26" l="1"/>
  <c r="G226" i="26" l="1"/>
  <c r="H226" i="26"/>
  <c r="L15" i="26"/>
  <c r="D177" i="26"/>
  <c r="K22" i="26" s="1"/>
  <c r="K35" i="26" s="1"/>
  <c r="K36" i="26" s="1"/>
  <c r="D176" i="26" l="1"/>
  <c r="D159" i="26" l="1"/>
  <c r="E195" i="26" l="1"/>
  <c r="F176" i="26" l="1"/>
  <c r="F159" i="26" l="1"/>
  <c r="F249" i="26"/>
  <c r="H249" i="26" l="1"/>
  <c r="G249" i="26"/>
  <c r="M14" i="26"/>
  <c r="M34" i="26" s="1"/>
  <c r="M36" i="26" s="1"/>
  <c r="F248" i="26"/>
  <c r="H248" i="26" l="1"/>
  <c r="G248" i="26"/>
  <c r="M10" i="26"/>
  <c r="F246" i="26"/>
  <c r="E235" i="26"/>
  <c r="D218" i="26"/>
  <c r="E234" i="26" l="1"/>
  <c r="H235" i="26"/>
  <c r="G235" i="26"/>
  <c r="L22" i="26"/>
  <c r="H246" i="26"/>
  <c r="G246" i="26"/>
  <c r="E221" i="26"/>
  <c r="H221" i="26" l="1"/>
  <c r="G221" i="26"/>
  <c r="L11" i="26"/>
  <c r="L31" i="26" s="1"/>
  <c r="H234" i="26"/>
  <c r="G234" i="26"/>
  <c r="E220" i="26"/>
  <c r="G220" i="26" l="1"/>
  <c r="H220" i="26"/>
  <c r="E218" i="26"/>
  <c r="D5" i="24"/>
  <c r="G5" i="24" s="1"/>
  <c r="G218" i="26" l="1"/>
  <c r="H218" i="26"/>
  <c r="D17" i="22"/>
  <c r="E17" i="22"/>
  <c r="E6" i="22" s="1"/>
  <c r="F17" i="22"/>
  <c r="F7" i="22"/>
  <c r="D154" i="26"/>
  <c r="K24" i="26" s="1"/>
  <c r="E155" i="26"/>
  <c r="H155" i="26" l="1"/>
  <c r="G155" i="26"/>
  <c r="L29" i="26"/>
  <c r="L35" i="26" s="1"/>
  <c r="L36" i="26" s="1"/>
  <c r="D152" i="26"/>
  <c r="F6" i="22"/>
  <c r="E154" i="26"/>
  <c r="L24" i="26" s="1"/>
  <c r="H17" i="22"/>
  <c r="G17" i="22"/>
  <c r="H10" i="22"/>
  <c r="G10" i="22"/>
  <c r="E161" i="26"/>
  <c r="F154" i="26"/>
  <c r="E176" i="26"/>
  <c r="D6" i="22"/>
  <c r="D140" i="26"/>
  <c r="K17" i="26" s="1"/>
  <c r="H161" i="26" l="1"/>
  <c r="G161" i="26"/>
  <c r="L10" i="26"/>
  <c r="L17" i="26"/>
  <c r="H176" i="26"/>
  <c r="G176" i="26"/>
  <c r="H154" i="26"/>
  <c r="G154" i="26"/>
  <c r="M24" i="26"/>
  <c r="F140" i="26"/>
  <c r="E127" i="26"/>
  <c r="E6" i="26" s="1"/>
  <c r="D129" i="26"/>
  <c r="K10" i="26" s="1"/>
  <c r="K9" i="26" s="1"/>
  <c r="E152" i="26"/>
  <c r="E159" i="26"/>
  <c r="G6" i="22"/>
  <c r="H6" i="22"/>
  <c r="F152" i="26"/>
  <c r="H10" i="26"/>
  <c r="G10" i="26"/>
  <c r="H140" i="26" l="1"/>
  <c r="G140" i="26"/>
  <c r="M17" i="26"/>
  <c r="M9" i="26" s="1"/>
  <c r="H152" i="26"/>
  <c r="G152" i="26"/>
  <c r="L9" i="26"/>
  <c r="H159" i="26"/>
  <c r="G159" i="26"/>
  <c r="F127" i="26"/>
  <c r="D127" i="26"/>
  <c r="D7" i="26"/>
  <c r="D6" i="26" s="1"/>
  <c r="I127" i="26" l="1"/>
  <c r="H127" i="26"/>
  <c r="G127" i="26"/>
  <c r="F6" i="26"/>
  <c r="C25" i="14"/>
  <c r="F50" i="14"/>
  <c r="E50" i="14"/>
  <c r="D50" i="14"/>
  <c r="C50" i="14"/>
  <c r="H49" i="14"/>
  <c r="H48" i="14"/>
  <c r="G48" i="14"/>
  <c r="H47" i="14"/>
  <c r="G47" i="14"/>
  <c r="H46" i="14"/>
  <c r="G46" i="14"/>
  <c r="H45" i="14"/>
  <c r="G45" i="14"/>
  <c r="E81" i="14"/>
  <c r="E93" i="14" s="1"/>
  <c r="G50" i="14" l="1"/>
  <c r="H50" i="14"/>
  <c r="G6" i="24"/>
  <c r="H7" i="22" l="1"/>
  <c r="G7" i="22"/>
  <c r="M7" i="9" l="1"/>
  <c r="F6" i="24"/>
  <c r="H9" i="26"/>
  <c r="G9" i="26"/>
  <c r="H23" i="22"/>
  <c r="H30" i="22"/>
  <c r="H61" i="22"/>
  <c r="G23" i="22"/>
  <c r="G30" i="22"/>
  <c r="G61" i="22"/>
  <c r="P7" i="9" l="1"/>
  <c r="M125" i="9"/>
  <c r="H7" i="26"/>
  <c r="G7" i="26"/>
  <c r="F5" i="24"/>
  <c r="P125" i="9" l="1"/>
  <c r="O125" i="9"/>
  <c r="H71" i="14"/>
  <c r="G71" i="14"/>
  <c r="H53" i="14"/>
  <c r="H54" i="14"/>
  <c r="H55" i="14"/>
  <c r="H56" i="14"/>
  <c r="H58" i="14"/>
  <c r="H60" i="14"/>
  <c r="H61" i="14"/>
  <c r="H62" i="14"/>
  <c r="H63" i="14"/>
  <c r="H65" i="14"/>
  <c r="H66" i="14"/>
  <c r="H67" i="14"/>
  <c r="H10" i="14"/>
  <c r="H11" i="14"/>
  <c r="H12" i="14"/>
  <c r="H13" i="14"/>
  <c r="H14" i="14"/>
  <c r="H17" i="14"/>
  <c r="H18" i="14"/>
  <c r="H19" i="14"/>
  <c r="H20" i="14"/>
  <c r="H21" i="14"/>
  <c r="H23" i="14"/>
  <c r="H24" i="14"/>
  <c r="H26" i="14"/>
  <c r="H27" i="14"/>
  <c r="H28" i="14"/>
  <c r="H29" i="14"/>
  <c r="H30" i="14"/>
  <c r="H32" i="14"/>
  <c r="H33" i="14"/>
  <c r="H35" i="14"/>
  <c r="H37" i="14"/>
  <c r="H38" i="14"/>
  <c r="H40" i="14"/>
  <c r="H41" i="14"/>
  <c r="H8" i="14" l="1"/>
  <c r="G18" i="14"/>
  <c r="G19" i="14"/>
  <c r="G20" i="14"/>
  <c r="G21" i="14"/>
  <c r="G10" i="14"/>
  <c r="G11" i="14"/>
  <c r="G12" i="14"/>
  <c r="G13" i="14"/>
  <c r="G14" i="14"/>
  <c r="G17" i="14"/>
  <c r="G23" i="14"/>
  <c r="G24" i="14"/>
  <c r="G26" i="14"/>
  <c r="G27" i="14"/>
  <c r="G28" i="14"/>
  <c r="G29" i="14"/>
  <c r="G30" i="14"/>
  <c r="G32" i="14"/>
  <c r="G33" i="14"/>
  <c r="G34" i="14"/>
  <c r="G35" i="14"/>
  <c r="G37" i="14"/>
  <c r="G38" i="14"/>
  <c r="G40" i="14"/>
  <c r="G41" i="14"/>
  <c r="G8" i="14"/>
  <c r="H6" i="26" l="1"/>
  <c r="G6" i="26"/>
  <c r="C70" i="14"/>
  <c r="D70" i="14"/>
  <c r="E70" i="14"/>
  <c r="F70" i="14"/>
  <c r="G70" i="14" l="1"/>
  <c r="H70" i="14"/>
  <c r="D57" i="14"/>
  <c r="D52" i="14"/>
  <c r="C52" i="14"/>
  <c r="D64" i="14"/>
  <c r="E64" i="14"/>
  <c r="F64" i="14"/>
  <c r="C64" i="14"/>
  <c r="E57" i="14"/>
  <c r="F57" i="14"/>
  <c r="E52" i="14"/>
  <c r="F52" i="14"/>
  <c r="E25" i="14"/>
  <c r="D22" i="14"/>
  <c r="E22" i="14"/>
  <c r="E42" i="14" s="1"/>
  <c r="C42" i="14"/>
  <c r="G64" i="14" l="1"/>
  <c r="G57" i="14"/>
  <c r="H52" i="14"/>
  <c r="G52" i="14"/>
  <c r="D42" i="14"/>
  <c r="I42" i="14" s="1"/>
  <c r="F22" i="14"/>
  <c r="H22" i="14" s="1"/>
  <c r="H64" i="14"/>
  <c r="H57" i="14"/>
  <c r="C68" i="14"/>
  <c r="E68" i="14"/>
  <c r="D68" i="14"/>
  <c r="F68" i="14"/>
  <c r="D25" i="14"/>
  <c r="D16" i="14"/>
  <c r="F16" i="14" s="1"/>
  <c r="E16" i="14"/>
  <c r="C16" i="14"/>
  <c r="D9" i="14"/>
  <c r="C9" i="14"/>
  <c r="C43" i="14" s="1"/>
  <c r="G68" i="14" l="1"/>
  <c r="F42" i="14"/>
  <c r="H42" i="14" s="1"/>
  <c r="G22" i="14"/>
  <c r="F9" i="14"/>
  <c r="H9" i="14" s="1"/>
  <c r="D15" i="14"/>
  <c r="D31" i="14" s="1"/>
  <c r="D36" i="14" s="1"/>
  <c r="F25" i="14"/>
  <c r="D43" i="14"/>
  <c r="F43" i="14" s="1"/>
  <c r="E15" i="14"/>
  <c r="E31" i="14" s="1"/>
  <c r="E43" i="14"/>
  <c r="H16" i="14"/>
  <c r="H68" i="14"/>
  <c r="G16" i="14"/>
  <c r="E36" i="14" l="1"/>
  <c r="E39" i="14" s="1"/>
  <c r="G42" i="14"/>
  <c r="G9" i="14"/>
  <c r="H25" i="14"/>
  <c r="G25" i="14"/>
  <c r="G43" i="14"/>
  <c r="H43" i="14"/>
  <c r="F31" i="14" l="1"/>
  <c r="F15" i="14"/>
  <c r="C15" i="14"/>
  <c r="C31" i="14" s="1"/>
  <c r="C36" i="14" s="1"/>
  <c r="D39" i="14" l="1"/>
  <c r="F39" i="14" s="1"/>
  <c r="G15" i="14"/>
  <c r="H15" i="14"/>
  <c r="H31" i="14"/>
  <c r="G31" i="14"/>
  <c r="C39" i="14" l="1"/>
  <c r="F36" i="14"/>
  <c r="H36" i="14" s="1"/>
  <c r="H39" i="14"/>
  <c r="G39" i="14"/>
  <c r="G36" i="14" l="1"/>
</calcChain>
</file>

<file path=xl/sharedStrings.xml><?xml version="1.0" encoding="utf-8"?>
<sst xmlns="http://schemas.openxmlformats.org/spreadsheetml/2006/main" count="1004" uniqueCount="516">
  <si>
    <t>придбання (виготовлення) основних засобів</t>
  </si>
  <si>
    <t>Фінансовий результат від операційної діяльності</t>
  </si>
  <si>
    <t>Витрати на оплату праці</t>
  </si>
  <si>
    <t>Відрахування на соціальні заходи</t>
  </si>
  <si>
    <t>Амортизація</t>
  </si>
  <si>
    <t xml:space="preserve">Код рядка </t>
  </si>
  <si>
    <t>Інші операційні витрати</t>
  </si>
  <si>
    <t>придбання (виготовлення) інших необоротних матеріальних активів</t>
  </si>
  <si>
    <t>№ з/п</t>
  </si>
  <si>
    <t>Усього</t>
  </si>
  <si>
    <t>(посада)</t>
  </si>
  <si>
    <t>(підпис)</t>
  </si>
  <si>
    <t>Інші операційні витрати, усього, у тому числі:</t>
  </si>
  <si>
    <t>Капітальні інвестиції, усього,
у тому числі:</t>
  </si>
  <si>
    <t>податок на доходи фізичних осіб</t>
  </si>
  <si>
    <t>Фінансовий результат до оподаткування</t>
  </si>
  <si>
    <t xml:space="preserve">         (ініціали, прізвище)    </t>
  </si>
  <si>
    <t>(ініціали, прізвище)</t>
  </si>
  <si>
    <t>Основні фінансові показники</t>
  </si>
  <si>
    <t>Капітальні інвестиції</t>
  </si>
  <si>
    <t>Найменування об’єкта</t>
  </si>
  <si>
    <t>директор</t>
  </si>
  <si>
    <t>працівники</t>
  </si>
  <si>
    <t>Найменування показника</t>
  </si>
  <si>
    <t>адміністративно-управлінський персонал</t>
  </si>
  <si>
    <t>Валовий прибуток/збиток</t>
  </si>
  <si>
    <t>(    )</t>
  </si>
  <si>
    <t>Інші доходи, усього, у тому числі:</t>
  </si>
  <si>
    <t>Витрати з податку на прибуток</t>
  </si>
  <si>
    <t>Дохід з податку на прибуток</t>
  </si>
  <si>
    <t>8000</t>
  </si>
  <si>
    <t>8001</t>
  </si>
  <si>
    <t>8002</t>
  </si>
  <si>
    <t>8003</t>
  </si>
  <si>
    <t>8010</t>
  </si>
  <si>
    <t>Інші операційні доходи, усього, у тому числі:</t>
  </si>
  <si>
    <t>нетипові операційні доходи (розшифрувати)</t>
  </si>
  <si>
    <t>інші операційні доходи (розшифрувати)</t>
  </si>
  <si>
    <t>податок на прибуток підприємств</t>
  </si>
  <si>
    <t>капітальний ремонт</t>
  </si>
  <si>
    <t>інші податки та збори (розшифрувати)</t>
  </si>
  <si>
    <t>митні платежі</t>
  </si>
  <si>
    <t xml:space="preserve">єдиний внесок на загальнообов'язкове державне соціальне страхування                      </t>
  </si>
  <si>
    <t>інші податки, збори та платежі (розшифрувати)</t>
  </si>
  <si>
    <t>земельний податок</t>
  </si>
  <si>
    <t>орендна плата</t>
  </si>
  <si>
    <t>Чистий фінансовий результат</t>
  </si>
  <si>
    <t xml:space="preserve">Прибуток </t>
  </si>
  <si>
    <t>Збиток</t>
  </si>
  <si>
    <t>Середньомісячні витрати на оплату праці одного працівника (грн), усього, у тому числі:</t>
  </si>
  <si>
    <t>Інші витрати (розшифрувати)</t>
  </si>
  <si>
    <t>тис. грн (без ПДВ)</t>
  </si>
  <si>
    <t>{Додаток 1 в редакції Наказу Міністерства економічного розвитку і торгівлі № 1394 від 03.11.2015}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</si>
  <si>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</si>
  <si>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</si>
  <si>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Усього нараховано виплат</t>
  </si>
  <si>
    <t>Матеріальні витрати</t>
  </si>
  <si>
    <t>(тис. грн)</t>
  </si>
  <si>
    <t>Нараховані до сплати податки та збори до місцевих бюджетів (податкові платежі)</t>
  </si>
  <si>
    <t>Нараховані до сплати інші податки, збори та платежі</t>
  </si>
  <si>
    <t xml:space="preserve"> (посада)</t>
  </si>
  <si>
    <t>військовий збір</t>
  </si>
  <si>
    <t>капітальне будівництво (розшифрувати)</t>
  </si>
  <si>
    <t>модернізація, модифікація (добудова, дообладнання, реконструкція) основних засобів (розшифрувати)</t>
  </si>
  <si>
    <t>капітальний ремонт (розшифрувати)</t>
  </si>
  <si>
    <t>тис. грн</t>
  </si>
  <si>
    <t xml:space="preserve">                   (підпис)</t>
  </si>
  <si>
    <t>Собівартість реалізованої продукції (товарів, робіт, послуг), усього, у тому числі:</t>
  </si>
  <si>
    <t>Матеріальні витрати (розшифрувати)</t>
  </si>
  <si>
    <t>Інші адміністративні витрати (розшифрувати)</t>
  </si>
  <si>
    <t>Інші операційні витрати (розшифрувати)</t>
  </si>
  <si>
    <t>придбання (виготовлення) інших необоротних матеріальних активів (розшифрувати)</t>
  </si>
  <si>
    <t>Фонд оплату праці</t>
  </si>
  <si>
    <t>8030</t>
  </si>
  <si>
    <t>Чистий дохід від реалізації продукції (товарів, робіт, послуг), усього, у тому числі:</t>
  </si>
  <si>
    <t>ДОХОДИ</t>
  </si>
  <si>
    <t>№Зз/п</t>
  </si>
  <si>
    <t>Інші фінансові доходи, усього, у тому числі:</t>
  </si>
  <si>
    <t>ВИТРАТИ</t>
  </si>
  <si>
    <t>Собівартість реалізованої продукції (товарів, робіт, послуг),</t>
  </si>
  <si>
    <t>Матеріальні витрати, у сього, у т.ч.:</t>
  </si>
  <si>
    <t>Інші витрати, усього, у т.ч:</t>
  </si>
  <si>
    <t>Адміністративні витрати:</t>
  </si>
  <si>
    <t>Інші адміністративні витрати, усього, у т.ч.:</t>
  </si>
  <si>
    <t>ВСЬОГО ВИТРАТ:</t>
  </si>
  <si>
    <t>1.</t>
  </si>
  <si>
    <t>у т.ч. використано на:</t>
  </si>
  <si>
    <t>1.1</t>
  </si>
  <si>
    <t>1.2</t>
  </si>
  <si>
    <t>Адміністративні витрати, усього, у тому числі:</t>
  </si>
  <si>
    <t>Собівартість реалізованої продукції (товарів, робіт, послуг), усього, у т.ч.:</t>
  </si>
  <si>
    <t>1.3</t>
  </si>
  <si>
    <t>Адміністративні витрати, усього, у т.ч.:</t>
  </si>
  <si>
    <t>Інші операційні витрати, усього, у т.ч.:</t>
  </si>
  <si>
    <t>2.</t>
  </si>
  <si>
    <t>Придбання (виготовлення) основних засобів, усього, у т.ч.:</t>
  </si>
  <si>
    <t>Придбання (виготовлення) інших необоротних матеріальних активів, усього, у т.ч.:</t>
  </si>
  <si>
    <t>Інші витрати, усього, у т.ч.:</t>
  </si>
  <si>
    <t>Розділ І. Формування фінансових результатів</t>
  </si>
  <si>
    <t>Розділ IІ. Розрахунки з бюджетом</t>
  </si>
  <si>
    <t>Розділ IV. Капітальні інвестиції</t>
  </si>
  <si>
    <t>Розділ VI. Дані про персонал та витрати на оплату праці</t>
  </si>
  <si>
    <t>Розшифровка №1 до розділу І "Формування фінансових результатів"</t>
  </si>
  <si>
    <t>Розшифровка до розділу  IV. "Капітальні інвестиції"</t>
  </si>
  <si>
    <t>3.</t>
  </si>
  <si>
    <t>4.</t>
  </si>
  <si>
    <t>Матеріальні витрати, усього, у т.ч.:</t>
  </si>
  <si>
    <t>план</t>
  </si>
  <si>
    <t>факт</t>
  </si>
  <si>
    <t>відхилення, +/-</t>
  </si>
  <si>
    <t>виконання, 
%</t>
  </si>
  <si>
    <t>відхилення, +,-</t>
  </si>
  <si>
    <t>відхилення, %</t>
  </si>
  <si>
    <t>відхилення, 
%</t>
  </si>
  <si>
    <t>Відхилення, +,-</t>
  </si>
  <si>
    <t>Відхилення, %</t>
  </si>
  <si>
    <t>Усього доходів</t>
  </si>
  <si>
    <t>Усього видатків</t>
  </si>
  <si>
    <t>Розшифровка №2 до розділу І "Формування фінансових результатів за джерелами доходів та використання коштів"</t>
  </si>
  <si>
    <t>Кошти державного бюджету від Національної служби здоров'я України</t>
  </si>
  <si>
    <t>Інші операційні витрати:</t>
  </si>
  <si>
    <t>Факт наростаючим підсумком з початку року</t>
  </si>
  <si>
    <r>
      <t xml:space="preserve">Чистий дохід від реалізації продукції (товарів, робіт, послуг) </t>
    </r>
    <r>
      <rPr>
        <sz val="16"/>
        <color theme="1"/>
        <rFont val="Times New Roman"/>
        <family val="1"/>
        <charset val="204"/>
      </rPr>
      <t>(розшифрувати)</t>
    </r>
  </si>
  <si>
    <r>
      <t>Інші фінансові доходи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</si>
  <si>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rPr>
        <b/>
        <sz val="16"/>
        <color theme="1"/>
        <rFont val="Times New Roman"/>
        <family val="1"/>
        <charset val="204"/>
      </rPr>
      <t>Фінансові витрати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</si>
  <si>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t>Інші доходи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</si>
  <si>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t xml:space="preserve">Інші витрати </t>
    </r>
    <r>
      <rPr>
        <sz val="16"/>
        <color theme="1"/>
        <rFont val="Times New Roman"/>
        <family val="1"/>
        <charset val="204"/>
      </rPr>
      <t>(розшифрувати)</t>
    </r>
  </si>
  <si>
    <r>
      <t>придбання (виготовлення) основних засобів (розшифрувати)</t>
    </r>
    <r>
      <rPr>
        <i/>
        <sz val="16"/>
        <color theme="1"/>
        <rFont val="Times New Roman"/>
        <family val="1"/>
        <charset val="204"/>
      </rPr>
      <t xml:space="preserve"> </t>
    </r>
  </si>
  <si>
    <r>
      <t>придбання (створення) нематеріальних активів (розшифрувати)</t>
    </r>
    <r>
      <rPr>
        <i/>
        <sz val="16"/>
        <color theme="1"/>
        <rFont val="Times New Roman"/>
        <family val="1"/>
        <charset val="204"/>
      </rPr>
      <t xml:space="preserve"> </t>
    </r>
  </si>
  <si>
    <r>
      <t xml:space="preserve">Середня кількість працівників </t>
    </r>
    <r>
      <rPr>
        <sz val="16"/>
        <color theme="1"/>
        <rFont val="Times New Roman"/>
        <family val="1"/>
        <charset val="204"/>
      </rPr>
      <t>(штатних працівників, зовнішніх сумісників та працівників, що працюють за цивільно-правовими договорами)</t>
    </r>
    <r>
      <rPr>
        <b/>
        <sz val="16"/>
        <color theme="1"/>
        <rFont val="Times New Roman"/>
        <family val="1"/>
        <charset val="204"/>
      </rPr>
      <t>, у тому числі:</t>
    </r>
  </si>
  <si>
    <t>х</t>
  </si>
  <si>
    <t>Елементи операційних витрат:</t>
  </si>
  <si>
    <t>Залучення кредитних коштів</t>
  </si>
  <si>
    <t>Власні кошти</t>
  </si>
  <si>
    <t>Усього:</t>
  </si>
  <si>
    <t xml:space="preserve">Нараховані до сплати податки та збори до Державного бюджету України (податкові платежі) </t>
  </si>
  <si>
    <t>1.1.1</t>
  </si>
  <si>
    <t xml:space="preserve">медикаменти та перев'язувальні матеріали </t>
  </si>
  <si>
    <t>харчування</t>
  </si>
  <si>
    <t>1.1.2</t>
  </si>
  <si>
    <t>1.1.3</t>
  </si>
  <si>
    <t>1.1.4</t>
  </si>
  <si>
    <t>1.1.5</t>
  </si>
  <si>
    <t>Інші витрати, усього, у тому числі:</t>
  </si>
  <si>
    <t>наркопрофогляд, медогляд</t>
  </si>
  <si>
    <t>гістологічні дослідження</t>
  </si>
  <si>
    <t>дослідження на ВІЛ</t>
  </si>
  <si>
    <t>бактеріологічні дослідження</t>
  </si>
  <si>
    <t xml:space="preserve">ремонт та технічне обслуговування медичного обладнання </t>
  </si>
  <si>
    <t>повірка медичного обладнання</t>
  </si>
  <si>
    <t>технічне обслуговування та ремонт ліфтів</t>
  </si>
  <si>
    <t>телекомунікаційні послуги</t>
  </si>
  <si>
    <t>1.2.2</t>
  </si>
  <si>
    <t>1.2.3</t>
  </si>
  <si>
    <t>1.2.5</t>
  </si>
  <si>
    <t>Інші адмінінстративні витрати, усього, у тому числі</t>
  </si>
  <si>
    <t xml:space="preserve">охоронна сигналізація </t>
  </si>
  <si>
    <t>1.3.2</t>
  </si>
  <si>
    <t>1.3.3</t>
  </si>
  <si>
    <t>господарські товари, техн. засоби, електрозберігаючі лампочки,  будівельні матеріали, засоби для прибирання та гігієни</t>
  </si>
  <si>
    <t>канцтовари, періодичні видання, бланки, журнали</t>
  </si>
  <si>
    <t>дозометричний контроль</t>
  </si>
  <si>
    <t xml:space="preserve">ремонт та технічне обслуговування немедичного обладнання </t>
  </si>
  <si>
    <t>ремонт та технічне обслуговування ПК та оргтехніки</t>
  </si>
  <si>
    <t>ремонт приміщень</t>
  </si>
  <si>
    <t>супровід програмного забезпечення, медіа-супровід, обслуговування сайту, КЕП</t>
  </si>
  <si>
    <t xml:space="preserve">поповнення смарт-карток для проїзду </t>
  </si>
  <si>
    <t>оплата теплопостачання</t>
  </si>
  <si>
    <t xml:space="preserve">оплата водопостачання та водовідведення </t>
  </si>
  <si>
    <t>оплата електроенергії</t>
  </si>
  <si>
    <t>вивіз сміття</t>
  </si>
  <si>
    <t>послуги з навчання</t>
  </si>
  <si>
    <t>Інші  адміністративні витрати, усього, у тому числі:</t>
  </si>
  <si>
    <t>паливно-мастильні матеріали</t>
  </si>
  <si>
    <t>ремонт та технічне обслуговування немедичного обладнання</t>
  </si>
  <si>
    <t>податок на додану вартість</t>
  </si>
  <si>
    <t>витратні матеріали для хворих на цукровий діабет</t>
  </si>
  <si>
    <t>медикаменти та перв'язувальні матеріали</t>
  </si>
  <si>
    <t xml:space="preserve">оплата електроенергії </t>
  </si>
  <si>
    <t xml:space="preserve">вивіз  сміття </t>
  </si>
  <si>
    <t>9.</t>
  </si>
  <si>
    <t>10.</t>
  </si>
  <si>
    <t>Кошти орендарів (енергоносії)</t>
  </si>
  <si>
    <t>Надходження від відсотків за залишками коштів на депозитних рахунках</t>
  </si>
  <si>
    <t>ремонт та технічне обслуговування медичного обладнання</t>
  </si>
  <si>
    <t>банківські послуги</t>
  </si>
  <si>
    <t>Володимир ПРИСЯЖНЮК</t>
  </si>
  <si>
    <t>кошти державного бюджету від Національної служби здоров'я України</t>
  </si>
  <si>
    <r>
      <t xml:space="preserve">кошти орендарів </t>
    </r>
    <r>
      <rPr>
        <i/>
        <sz val="14"/>
        <rFont val="Times New Roman"/>
        <family val="1"/>
        <charset val="204"/>
      </rPr>
      <t>(енергоносії)</t>
    </r>
  </si>
  <si>
    <t>благодійна допомога в грошовому еквіваленті</t>
  </si>
  <si>
    <t>благодійна допомога в натуральній формі</t>
  </si>
  <si>
    <t>надходження від відсотків за залишками коштів на депозитних рахунках</t>
  </si>
  <si>
    <t>медикаменти та перев'язувальні матеріали</t>
  </si>
  <si>
    <t>господарські товари, технічні засоби, енергозберігаючі лампочки,  будівельні матеріали, засоби для прибирання та гігієни</t>
  </si>
  <si>
    <t>ремонт та технічне обслуговування ліфтів</t>
  </si>
  <si>
    <t xml:space="preserve">ремонт приміщень </t>
  </si>
  <si>
    <t>ПДВ</t>
  </si>
  <si>
    <t xml:space="preserve">пільгова пенсія </t>
  </si>
  <si>
    <t>Благодійна допомога в натуральній формі</t>
  </si>
  <si>
    <t xml:space="preserve">канцтовари, періодичні видання </t>
  </si>
  <si>
    <t xml:space="preserve">Благодійна допомога в грошовому еквіваленті </t>
  </si>
  <si>
    <t>Нарахування амортизації на безоплатно отримані активи, усього, у т.ч.:</t>
  </si>
  <si>
    <t>нарахування амортизації на безоплатно отримані активи</t>
  </si>
  <si>
    <t>металобрухт</t>
  </si>
  <si>
    <t xml:space="preserve"> </t>
  </si>
  <si>
    <t>Кошти бюджету ВМТГ</t>
  </si>
  <si>
    <t xml:space="preserve">ремонт та технічне обслуговування авто </t>
  </si>
  <si>
    <t xml:space="preserve">послуги з навчання </t>
  </si>
  <si>
    <t>публікація в газеті</t>
  </si>
  <si>
    <t xml:space="preserve">публікація в газеті </t>
  </si>
  <si>
    <t>профвнески</t>
  </si>
  <si>
    <t>Директор КНП "ВМКЛ"ЦМтаД"</t>
  </si>
  <si>
    <t>Кошти бюджету ВМТГ (залишки минулих періодів)</t>
  </si>
  <si>
    <t>Директор КНП"ВМКЛ"ЦМтаД"</t>
  </si>
  <si>
    <r>
      <t>Директор КНП "ВМКЛ"ЦМтаД"</t>
    </r>
    <r>
      <rPr>
        <u/>
        <sz val="16"/>
        <color theme="1"/>
        <rFont val="Times New Roman"/>
        <family val="1"/>
        <charset val="204"/>
      </rPr>
      <t xml:space="preserve"> </t>
    </r>
  </si>
  <si>
    <t>Розшифровка до розділу  IV "Капітальні інвестиції" за джерелами надходження</t>
  </si>
  <si>
    <t>кошти Вінницької міської  територіальної громади (ВМТГ)</t>
  </si>
  <si>
    <t>кошти Вінницької міської  територіальної громади (ВМТГ) (залиши минулих періодів)</t>
  </si>
  <si>
    <t>Капітальний ремонт приміщень четвертого поверху пологового будинку міської лікарні «Центр матері та дитини» за адресою: Україна, м. Вінниця, вул. Синьоводська, 142</t>
  </si>
  <si>
    <t xml:space="preserve">Кошти від надання платних послуг </t>
  </si>
  <si>
    <t>3.1.</t>
  </si>
  <si>
    <t xml:space="preserve">паливно-мастильні матеріали </t>
  </si>
  <si>
    <t xml:space="preserve">оренда медичного обладнання </t>
  </si>
  <si>
    <t xml:space="preserve">ремонт приміщення </t>
  </si>
  <si>
    <t xml:space="preserve">банківські послуги </t>
  </si>
  <si>
    <t>адміністративні послуги</t>
  </si>
  <si>
    <t xml:space="preserve">утилізація медичних відходів </t>
  </si>
  <si>
    <t>1.3.4.</t>
  </si>
  <si>
    <t xml:space="preserve">нарахування амортизації на безоплатно отримані активи </t>
  </si>
  <si>
    <t>4.1.</t>
  </si>
  <si>
    <t>4.1.2.</t>
  </si>
  <si>
    <t>4.3.</t>
  </si>
  <si>
    <t>4.3.1.</t>
  </si>
  <si>
    <t>9.1.</t>
  </si>
  <si>
    <t>9.1.1.</t>
  </si>
  <si>
    <t>9.1.2.</t>
  </si>
  <si>
    <t>10.1.</t>
  </si>
  <si>
    <t>10.1.1.</t>
  </si>
  <si>
    <t xml:space="preserve">кошти від надання платних послуг </t>
  </si>
  <si>
    <t xml:space="preserve">Інші операційні витрати </t>
  </si>
  <si>
    <t>відрахування частини чистого прибутку комунальними підприємствами, що є власністю Вінницької міської об'єднаної територіальної громади до бюджету Вінницької міської ТГ</t>
  </si>
  <si>
    <t>11.</t>
  </si>
  <si>
    <t xml:space="preserve">земельний податок </t>
  </si>
  <si>
    <t>зберігання архівної документації</t>
  </si>
  <si>
    <t>Дохід від оприбуткування вторсировини (металобрухт, медичних відходів)</t>
  </si>
  <si>
    <t>Інші операційні витрати, усього, у т.ч.</t>
  </si>
  <si>
    <t xml:space="preserve">металобрухт </t>
  </si>
  <si>
    <t xml:space="preserve">інформаційно-консультаційні послуги </t>
  </si>
  <si>
    <t xml:space="preserve">оцінка майна </t>
  </si>
  <si>
    <t>Інші джерела (НСЗУ, гуманітарна допомога,централізовані поставки)</t>
  </si>
  <si>
    <t>Бюджетне фінансування (міський бюджет, днржавний бюджет)</t>
  </si>
  <si>
    <t>витрати на відрядження</t>
  </si>
  <si>
    <t>пільгова пенсія</t>
  </si>
  <si>
    <t xml:space="preserve">                            </t>
  </si>
  <si>
    <t xml:space="preserve">Капітальний ремонт споруд цивільного захисту (укриттів, бомбосховищ тощо) комунальних некомерційних підприємств охорони здоров'я </t>
  </si>
  <si>
    <t xml:space="preserve">витрати на відрядження </t>
  </si>
  <si>
    <t>Благодійна допомога в натуральній формі (залишки минулих періодів)</t>
  </si>
  <si>
    <t xml:space="preserve">інструментальні дослідження </t>
  </si>
  <si>
    <t xml:space="preserve">Лічильник х/в Ду 25(мактохолод)   </t>
  </si>
  <si>
    <t xml:space="preserve">Баня лабораторна водяна ВБ-4            </t>
  </si>
  <si>
    <t xml:space="preserve">Возик для прибирання б/у                                                                                                                                                                                </t>
  </si>
  <si>
    <t xml:space="preserve">Масажний столик складний                                             </t>
  </si>
  <si>
    <t xml:space="preserve">Блок живлення  </t>
  </si>
  <si>
    <t>Датчик температури дихальних шляхів Fisher &amp; Paykel</t>
  </si>
  <si>
    <t>Конектор центральної системи кисню</t>
  </si>
  <si>
    <t xml:space="preserve">Електрочайник Gallet BOU701R           </t>
  </si>
  <si>
    <t xml:space="preserve">Праска Philips 5000 Series DST5040/80            </t>
  </si>
  <si>
    <t xml:space="preserve">Дошка для прасування Eurogold 120*38см   </t>
  </si>
  <si>
    <t xml:space="preserve">Матрац б/у           </t>
  </si>
  <si>
    <t>Диспенсер для рушників</t>
  </si>
  <si>
    <t>Каталка для миття лежачих</t>
  </si>
  <si>
    <t xml:space="preserve">Крісло для збору крові   </t>
  </si>
  <si>
    <t>Акумуляторний налобний ліхтарик Ledlenser H8R для хірург.операцій у разі відключення електрики</t>
  </si>
  <si>
    <t xml:space="preserve">Перетворювач 220-110V 450W    </t>
  </si>
  <si>
    <t xml:space="preserve">Камера для зволожувача   </t>
  </si>
  <si>
    <t xml:space="preserve">Мережеве сховище SYNOLOGY NAS DS+Series 8 TB HDD    </t>
  </si>
  <si>
    <t xml:space="preserve">Кольпоскоп МК-200 з відеосистемою (230232)           </t>
  </si>
  <si>
    <t>Кольпоскоп МК-200 з відеосистемою та варіоб"єктивом f=200-400мм(230231</t>
  </si>
  <si>
    <t xml:space="preserve">Інструмент для фототерапії </t>
  </si>
  <si>
    <t xml:space="preserve">Зволожувач  </t>
  </si>
  <si>
    <t>Холодильник для вакцин</t>
  </si>
  <si>
    <t>Інкубатор для перевезення немовлят (комплект кисневих балонів, змін акумулят.та дроти, АШВЛ, візок,носилки)</t>
  </si>
  <si>
    <t>Капітальний ремонт приміщень четвертого поверху пологового будинку комунального некомерційного підприємства «Вінницька міська клінічна лікарня «Центр матері та дитини» за адресою: Україна, м. Вінниця, вул. Синьоводська, 142 (коригування 2)</t>
  </si>
  <si>
    <t xml:space="preserve">Реабілітаційне ліжко б/у    </t>
  </si>
  <si>
    <t xml:space="preserve">Тумба приліжкова  </t>
  </si>
  <si>
    <t>лабораторні дослідження</t>
  </si>
  <si>
    <t xml:space="preserve">оцінка енергоефективності </t>
  </si>
  <si>
    <t>інструментальні дослідження</t>
  </si>
  <si>
    <t xml:space="preserve">експертний висновок </t>
  </si>
  <si>
    <t>3.1.1.</t>
  </si>
  <si>
    <t>3.1.5.</t>
  </si>
  <si>
    <t>3.2.</t>
  </si>
  <si>
    <t>3.2.2.</t>
  </si>
  <si>
    <t>4.1.1.</t>
  </si>
  <si>
    <t>5.1.</t>
  </si>
  <si>
    <t>5.</t>
  </si>
  <si>
    <t>5.1.1</t>
  </si>
  <si>
    <t>6.</t>
  </si>
  <si>
    <t>6.1.</t>
  </si>
  <si>
    <t>6.1.1.</t>
  </si>
  <si>
    <t>7.</t>
  </si>
  <si>
    <t>7.1.</t>
  </si>
  <si>
    <t>7.1.1.</t>
  </si>
  <si>
    <t>7.2.</t>
  </si>
  <si>
    <t>7.2.1.</t>
  </si>
  <si>
    <t>8.</t>
  </si>
  <si>
    <t>8.2.</t>
  </si>
  <si>
    <t>8.2.1.</t>
  </si>
  <si>
    <t>11.1.1.</t>
  </si>
  <si>
    <t>11.1.2.</t>
  </si>
  <si>
    <t>11.1.3.</t>
  </si>
  <si>
    <t>11.2.</t>
  </si>
  <si>
    <t>11.2.2.</t>
  </si>
  <si>
    <t>11.3.</t>
  </si>
  <si>
    <t>11.3.1.</t>
  </si>
  <si>
    <t>12.</t>
  </si>
  <si>
    <t>12.1</t>
  </si>
  <si>
    <t>12.1.1.</t>
  </si>
  <si>
    <t>12.2.</t>
  </si>
  <si>
    <t>12.2.1.</t>
  </si>
  <si>
    <t>дохід від оприбуткування вторсировини (металобрухт, медичних відходів)</t>
  </si>
  <si>
    <t xml:space="preserve">встановлення автоматичного шлагбаума з монтажем контролю управління доступу шлагбаумів </t>
  </si>
  <si>
    <t>дератизація, дезинфекція, дезинсекція</t>
  </si>
  <si>
    <t xml:space="preserve">ремонт та технічне обслуговуввання медичного обладнання </t>
  </si>
  <si>
    <t xml:space="preserve">Відеокамера Р EVEN IP-7215PA white     </t>
  </si>
  <si>
    <t xml:space="preserve">Відеореєстратор 16-канальний IP         </t>
  </si>
  <si>
    <t xml:space="preserve">Свіч 4-х портовий             </t>
  </si>
  <si>
    <t xml:space="preserve">Свіч 8-х портовий   </t>
  </si>
  <si>
    <t xml:space="preserve">Свіч 5-х портовий                                                                          </t>
  </si>
  <si>
    <t xml:space="preserve">Ролети зовнішні захисні коричневі      </t>
  </si>
  <si>
    <t xml:space="preserve">Блок електронний приладу доступу U-Prox IP 400 EM              </t>
  </si>
  <si>
    <t xml:space="preserve">Зчитувч настільний мультиформатний U-Prox Desktop    </t>
  </si>
  <si>
    <t xml:space="preserve">Зчитувач мультиформатний U-Prox SL maxi           </t>
  </si>
  <si>
    <t xml:space="preserve">Плед для н/н 70*90                                 </t>
  </si>
  <si>
    <t xml:space="preserve">Конверт дитячий  </t>
  </si>
  <si>
    <t xml:space="preserve">Опромінювач бактеріцидний (3*30)ОБПе-225 М Заповіт       </t>
  </si>
  <si>
    <t xml:space="preserve">Фен настінний Trento 2000w       </t>
  </si>
  <si>
    <t>Посудомийна машина INDESIT DSCFE 1D10 S RU</t>
  </si>
  <si>
    <t xml:space="preserve">Електрочайник HOLMER HKS-202D(Подвійні стінки)             </t>
  </si>
  <si>
    <t xml:space="preserve">Електрочайник Blaufisch BEK-244DW                                 </t>
  </si>
  <si>
    <t xml:space="preserve">Акумуляторна батарея 25 Ah/12V       </t>
  </si>
  <si>
    <t xml:space="preserve">Кронштейн для телевізора ATG W2450AB для діагоналей 24-50 дюйма </t>
  </si>
  <si>
    <t xml:space="preserve">Пульсоксиметр Heaco G1B укомплектований датчиком Sp02 для немовляти        </t>
  </si>
  <si>
    <t xml:space="preserve">Інвалідний візок               </t>
  </si>
  <si>
    <t xml:space="preserve">Ходунки     </t>
  </si>
  <si>
    <t xml:space="preserve">Колонки 3800 чорні     </t>
  </si>
  <si>
    <t xml:space="preserve">Інвалідний візок б/в                           </t>
  </si>
  <si>
    <t xml:space="preserve">Стуло-туалет             </t>
  </si>
  <si>
    <t xml:space="preserve">Ліжко медичне               </t>
  </si>
  <si>
    <t xml:space="preserve">Ліжко дитяче  </t>
  </si>
  <si>
    <t xml:space="preserve">Сидіння для душа           </t>
  </si>
  <si>
    <t xml:space="preserve">Стільці з отворами             </t>
  </si>
  <si>
    <t xml:space="preserve">Тренажер       </t>
  </si>
  <si>
    <t xml:space="preserve">Монітор Wide View Karl Storz           </t>
  </si>
  <si>
    <t xml:space="preserve">Комп"ютерний комплекс(монітор Acer,системний блок Logik power LG Modics,мишка,принтер CANON MP-230)   </t>
  </si>
  <si>
    <t xml:space="preserve">Терапевтична кушетка                                              </t>
  </si>
  <si>
    <t xml:space="preserve">Насос ручний для бочки з оливою роторний 26л         </t>
  </si>
  <si>
    <t xml:space="preserve">Болгарка 125мм,1400Вт 6000-12200 об/хв.регул.та стаб.оборотів.     </t>
  </si>
  <si>
    <t xml:space="preserve">Чайник нержавійка 1,8л                                    </t>
  </si>
  <si>
    <t xml:space="preserve">Засіб КЗІ електрон.ключ Secure Token -338M    </t>
  </si>
  <si>
    <t xml:space="preserve">Медичне ліжко                          </t>
  </si>
  <si>
    <t xml:space="preserve">Милиці б/у                                         </t>
  </si>
  <si>
    <t xml:space="preserve">Ходунки б/в                                                                                   </t>
  </si>
  <si>
    <t xml:space="preserve">Фартух для рентгенології       </t>
  </si>
  <si>
    <t xml:space="preserve">Ковдра   </t>
  </si>
  <si>
    <t xml:space="preserve">Швейна машинка                </t>
  </si>
  <si>
    <t xml:space="preserve">Інвалідні тростини       </t>
  </si>
  <si>
    <t xml:space="preserve">Ходунки                    </t>
  </si>
  <si>
    <t xml:space="preserve">Розбірні медичні оглядові столи  </t>
  </si>
  <si>
    <t xml:space="preserve">Телевізор LG 32LQ630B6LA Smart TV (11 шт)        </t>
  </si>
  <si>
    <t xml:space="preserve">Відеокамера IP SEVEN IP-7212PA white 2.8mm (10 шт)       </t>
  </si>
  <si>
    <t xml:space="preserve">Лапароскопічна стійка Kari Storz                </t>
  </si>
  <si>
    <t xml:space="preserve">Освітлювач ACMI OLYM                            </t>
  </si>
  <si>
    <t xml:space="preserve">Камера ConMED                              </t>
  </si>
  <si>
    <t xml:space="preserve">Помпа RIchard WOLF       </t>
  </si>
  <si>
    <t xml:space="preserve">Коагулятор ERBE                  </t>
  </si>
  <si>
    <t xml:space="preserve">Інсуфлятор Karl Storz   </t>
  </si>
  <si>
    <t xml:space="preserve">Система цифрового відеозапису Stryker    </t>
  </si>
  <si>
    <t xml:space="preserve">Ірригатор ENDO-IRRIGATOR Richard WOLF                </t>
  </si>
  <si>
    <t xml:space="preserve">Гістероскоп                                                                                    </t>
  </si>
  <si>
    <t xml:space="preserve">Кушетка               </t>
  </si>
  <si>
    <t xml:space="preserve">Шлагбаум автоматичний,комплект  </t>
  </si>
  <si>
    <t>Світильник безтіньовий стельовий Mach-5 Німеччина,Т.В.</t>
  </si>
  <si>
    <t xml:space="preserve">Камера відеоспостереження SN-IPR57/20AKD/T/Z </t>
  </si>
  <si>
    <t xml:space="preserve">Холодильник для вакцин   </t>
  </si>
  <si>
    <t xml:space="preserve">Консоль операційна  </t>
  </si>
  <si>
    <t xml:space="preserve">Вентиляційна система (PRANNA 200C+PRANNA150 з комлектом автоматики)           </t>
  </si>
  <si>
    <t>Кошти від надання платних послуг (залишки минулих періодів)</t>
  </si>
  <si>
    <t>за півріччя 2024 рік</t>
  </si>
  <si>
    <t>за півріччя 2025 рік</t>
  </si>
  <si>
    <t>Звітний за півріччя 2025 рік</t>
  </si>
  <si>
    <t>план за півріччя 
2025 року</t>
  </si>
  <si>
    <t>факт 
за півріччя  2025 року</t>
  </si>
  <si>
    <t>Генератор FLMFRAA 300 OTO/ KB/JN 240kW/300kVA/50 Hz/Engine:FORD/9G30/Diesel,Voitage 400/231 V,650 I fuel tank з набором для інсталяції</t>
  </si>
  <si>
    <t xml:space="preserve">Електрокоагулятор високочастотний зварювальний МАРК АІ в комплекті </t>
  </si>
  <si>
    <t xml:space="preserve">Тестер бактерицидних ламп УФ-радіометр,ТЕНЗОР-71Б(з калібруванням)   </t>
  </si>
  <si>
    <t xml:space="preserve">Лапароскоп  </t>
  </si>
  <si>
    <t xml:space="preserve">Мікроскоп серії BioBlue              </t>
  </si>
  <si>
    <t xml:space="preserve">Мікроскоп серії BioBlue BB/4260    </t>
  </si>
  <si>
    <t xml:space="preserve">Апарат штучної вентиляції легень Savina 300     </t>
  </si>
  <si>
    <t xml:space="preserve">Ножиці лапароскопічні, 5*330мм, вигнуті, з двома рухомими браншами  </t>
  </si>
  <si>
    <t xml:space="preserve">Датчик конвексний RAB2-5-D           </t>
  </si>
  <si>
    <t xml:space="preserve">Ендоскоп(до набору гістерорезектоскопу)       </t>
  </si>
  <si>
    <t xml:space="preserve">Робочий елемент,пасивний(до набору гістерорезектоскопу)   </t>
  </si>
  <si>
    <t xml:space="preserve">Стілець б/у(27 шт)               </t>
  </si>
  <si>
    <t xml:space="preserve">Матраци медичні б/у             </t>
  </si>
  <si>
    <t xml:space="preserve">Простирадла б/в      </t>
  </si>
  <si>
    <t xml:space="preserve">Взуття медичне   </t>
  </si>
  <si>
    <t xml:space="preserve">Пеленки байкові б/у      </t>
  </si>
  <si>
    <t xml:space="preserve">Стульчаки медичні б/в         </t>
  </si>
  <si>
    <t xml:space="preserve">Кушетки медичні б/в     </t>
  </si>
  <si>
    <t xml:space="preserve">Підіймач для інвалідів б/в               </t>
  </si>
  <si>
    <t xml:space="preserve">Столи письмові б/у                       </t>
  </si>
  <si>
    <t xml:space="preserve">Стілець офісний б/у </t>
  </si>
  <si>
    <t xml:space="preserve">Столи медичні б/в           </t>
  </si>
  <si>
    <t xml:space="preserve">Диван 2-х місний     </t>
  </si>
  <si>
    <t xml:space="preserve">Кушетка медична б/в    </t>
  </si>
  <si>
    <t xml:space="preserve">Точка доступа Ubsgusts UnsFs AC LR (вай фай)   </t>
  </si>
  <si>
    <t xml:space="preserve">Камера Стерил.бокс"Стандарт"        </t>
  </si>
  <si>
    <t xml:space="preserve">Стіл інструментальний СІ-5               </t>
  </si>
  <si>
    <t xml:space="preserve">Тонометр внутр.тиску по Маклакову        </t>
  </si>
  <si>
    <t xml:space="preserve">Машина сушильна           </t>
  </si>
  <si>
    <t xml:space="preserve">Ультразвукові ножиці багаторазові HD-RC-D03         </t>
  </si>
  <si>
    <t xml:space="preserve">Дитяче лікарняне ліжко Buddy L-T    </t>
  </si>
  <si>
    <t xml:space="preserve">Ліжко для новонароджених NP-50 </t>
  </si>
  <si>
    <t xml:space="preserve">Електрод петля(до набору гістерорезектоскопу)  </t>
  </si>
  <si>
    <t xml:space="preserve">Тубус зовнішній(до набору гістерорезектоскопу) 2 шт        </t>
  </si>
  <si>
    <t xml:space="preserve">Обтуратор зовнішній,з рухомою робочою частиною(набір до гістерорезектоскоп) 2 шт  </t>
  </si>
  <si>
    <t xml:space="preserve">Обтуратор оптичний(набір до гістерорезектоскопу)    </t>
  </si>
  <si>
    <t xml:space="preserve">Кабель високочастотний(набір до гістерорезектоскопу) </t>
  </si>
  <si>
    <t xml:space="preserve">Пральна машина вузька INDESIT OMTWSE 61051 WK EU   </t>
  </si>
  <si>
    <t xml:space="preserve">Мікрохвильова піч Edler ED-2068C   </t>
  </si>
  <si>
    <t xml:space="preserve">Ширма розділювач з лого 5-ти секційна          </t>
  </si>
  <si>
    <t>Капітальний ремонт Монтаж та налагодження системи пожежної сигналізації, кнрування евакуюванням (в частині мовленнєвого оповіщення про пожежу), централізованого пожежного спостерігання на обєкті: Будівля пологового будинку ( літ.В) (1-3 поверх)  Комунального некомерційного підприємства Вінницька міська клінічна лікарня «Центр матері та дитини» за адресою: Україна, м. Вінниця, вул. Синьоводська, 142</t>
  </si>
  <si>
    <t>Реконструкція мереж електропостачання будівлі стаціонару (літера Л) та будівлі пологового будинку (літера В) з влаштуванням дизель-генератора для забезпечення резервного живлення в  Комунального некомерційного підприємства Вінницька міська клінічна лікарня «Центр матері та дитини» за адресою: Україна, м. Вінниця, вул. Синьоводська, 142</t>
  </si>
  <si>
    <t>Реконструкція частини покрівлі будівлі літ. Л з влаштуванням сонячної електростанції КНП "ВМКЛ "ЦМтаД" по вул.Синьоводській, 142 (заходи з енергозбереження)</t>
  </si>
  <si>
    <t>1.2.1.</t>
  </si>
  <si>
    <t xml:space="preserve">проведення наглядового аудиту сертифікації управління якістю </t>
  </si>
  <si>
    <t xml:space="preserve">адвокатські послуги </t>
  </si>
  <si>
    <t xml:space="preserve">вивезення сміття </t>
  </si>
  <si>
    <t xml:space="preserve">страхування цивільної відповідальності власників транспортних засобів </t>
  </si>
  <si>
    <t xml:space="preserve">страхування цивільно-правової відповідальностьі власників транспортних засобів </t>
  </si>
  <si>
    <t>за півріччя 2024 року</t>
  </si>
  <si>
    <t xml:space="preserve">Апарат для неінвазивної ШВЛ </t>
  </si>
  <si>
    <t xml:space="preserve">Система рентгенівська діагностична мобільна </t>
  </si>
  <si>
    <t xml:space="preserve">страхування майна </t>
  </si>
  <si>
    <t>страхування майна</t>
  </si>
  <si>
    <t>оцінка тех.стану будівельних конструкцій</t>
  </si>
  <si>
    <t xml:space="preserve">Земельна ділянка (Довженка О.) 0,0171 га)                      </t>
  </si>
  <si>
    <t xml:space="preserve">Приліжковий монітор пацієнта PVN-4763       </t>
  </si>
  <si>
    <t xml:space="preserve">Білірубінометр локальний SL014075                </t>
  </si>
  <si>
    <t xml:space="preserve">Фототерапевтична система,лед,для новонароджених SL016147   </t>
  </si>
  <si>
    <t xml:space="preserve">Білірубінометр         </t>
  </si>
  <si>
    <t xml:space="preserve">Інфузійний нвсос BeneFusion uVP                  </t>
  </si>
  <si>
    <t xml:space="preserve">Реабілітаційний велоергометр GB5007             </t>
  </si>
  <si>
    <t xml:space="preserve">Підйомник(ремінь 2шт,акумулятор)             </t>
  </si>
  <si>
    <t xml:space="preserve">Рентгенівська система діагностична мобільна JUMONG MOBILE      </t>
  </si>
  <si>
    <t xml:space="preserve">Рентгенівська система діагностична мобільна JUMONG MOBILE       </t>
  </si>
  <si>
    <t xml:space="preserve">Апарат дихальний Infant Flow SIPAP(Сіпап)           </t>
  </si>
  <si>
    <t xml:space="preserve">Апарат дихальний Infant Flow SIPAP(Сіпап) </t>
  </si>
  <si>
    <t xml:space="preserve">Транскутанний білірубінометр Drager JM 105  </t>
  </si>
  <si>
    <t xml:space="preserve">Вентиляційна установка PRANNA 150 з комплектом автоматики </t>
  </si>
  <si>
    <t xml:space="preserve">Апарат штучної вентиляції легень Savina 300 (2 шт)    </t>
  </si>
  <si>
    <t>Підігрівач інфузійних розчинів та крові FT800   (2 шт)</t>
  </si>
  <si>
    <t xml:space="preserve">Апарат штучної вентиляції легень Savina 300 (2 шт)                                                                                                                                                            </t>
  </si>
  <si>
    <t xml:space="preserve">Амбліостимулятор Лелека Аист-01ЛК     </t>
  </si>
  <si>
    <t>Вимірювач артериального тиску механічний у комплекті зі стетоскопом ,манометром та манжетою стандартною</t>
  </si>
  <si>
    <t xml:space="preserve">Цифрвий тонометр WBP108  </t>
  </si>
  <si>
    <t xml:space="preserve">Протипролежневий матрац з компресором М01       </t>
  </si>
  <si>
    <t xml:space="preserve">Протипролежневий матрац з компресором М05                 </t>
  </si>
  <si>
    <t xml:space="preserve">Штатив для вливань ШТ-1                           </t>
  </si>
  <si>
    <t xml:space="preserve">Штатив на колесах ШТк-4 </t>
  </si>
  <si>
    <t xml:space="preserve">Столик маніпуляційний,столешниця з нержавіючої сталі СМ-3     </t>
  </si>
  <si>
    <t xml:space="preserve">Портативний медичний ендоскоп М9 S          </t>
  </si>
  <si>
    <t xml:space="preserve">Спірометр HEACO SP10W                 </t>
  </si>
  <si>
    <t xml:space="preserve">Відеодомофон IP DS-KH6351-WTE1  </t>
  </si>
  <si>
    <t xml:space="preserve">Відеопанель Hikvision IP DS-KV6113    </t>
  </si>
  <si>
    <t xml:space="preserve">Пульсоксиметр CMS50C  </t>
  </si>
  <si>
    <t>Пульсоксиметр G1B укомплектований датчиком Sp02 для немовлят</t>
  </si>
  <si>
    <t xml:space="preserve">Глюкометр,система моніторингу рівня глюкози в крові Safe AQ Voice </t>
  </si>
  <si>
    <t xml:space="preserve">Фетальний доплер FD88          </t>
  </si>
  <si>
    <t xml:space="preserve">Апарат для динамічної офтальмохромотерапії Веселка </t>
  </si>
  <si>
    <t xml:space="preserve">Амбліостимулятор Лелека Аист-01ЛК                  </t>
  </si>
  <si>
    <t xml:space="preserve">Ендоскоп 2,7мм 108мм                                             </t>
  </si>
  <si>
    <t xml:space="preserve">Портативне джерело світла до ендоскопу                   </t>
  </si>
  <si>
    <t>Системний блок у складі(корпус GameMax ST607-400W.Intel Core i3-10100(BX8070110100) s 1200 Box.8GB</t>
  </si>
  <si>
    <t>Подушка</t>
  </si>
  <si>
    <t xml:space="preserve">USB 3.1 HDD Apacer 2TB 2.5 (AP2TBAC532B-1)Black     </t>
  </si>
  <si>
    <t xml:space="preserve">Пароочисник SC2              </t>
  </si>
  <si>
    <t xml:space="preserve">ДБЖ Powercom BNT-600AP       </t>
  </si>
  <si>
    <t xml:space="preserve">Ящик з рубильником і запобіжниками          </t>
  </si>
  <si>
    <t xml:space="preserve">Ліжко медичне бв          </t>
  </si>
  <si>
    <t xml:space="preserve">Підйомник пацієнта                                    </t>
  </si>
  <si>
    <t xml:space="preserve">Стійка для інфузій(IV-штатив)  </t>
  </si>
  <si>
    <t xml:space="preserve">Чайник електричний 3400 2л    </t>
  </si>
  <si>
    <t xml:space="preserve">Наматрацник дитячий (50 шт)         </t>
  </si>
  <si>
    <t>Комплект білизни(простирадло,підковдра,наволочка)   (18 шт)</t>
  </si>
  <si>
    <t>2.1.</t>
  </si>
  <si>
    <t>2.1.1.</t>
  </si>
  <si>
    <t>2.1.2.</t>
  </si>
  <si>
    <t>2.1.3.</t>
  </si>
  <si>
    <t>2.1.4.</t>
  </si>
  <si>
    <t>2.1.5.</t>
  </si>
  <si>
    <t>2.2.</t>
  </si>
  <si>
    <t>2.2.2.</t>
  </si>
  <si>
    <t>2.3.</t>
  </si>
  <si>
    <t>2.3.1.</t>
  </si>
  <si>
    <t xml:space="preserve">лабораторні дослідження </t>
  </si>
  <si>
    <t xml:space="preserve">ремонт та технічне осблуговування авто </t>
  </si>
  <si>
    <t xml:space="preserve">ЗВІТ
 про виконання показників фінансового плану Комунального некомерційного підприємства                                                                                                                                                                                                                                                                                                                                                     "Вінницька міська клінічна лікарня "Центр матері та дитини"
за І півріччя 2025 року </t>
  </si>
  <si>
    <t>списання не повністю амортизованих основних засобів</t>
  </si>
  <si>
    <t xml:space="preserve"> (підпис)</t>
  </si>
  <si>
    <t>Капітальний ремонт, усього, у т.ч.:</t>
  </si>
  <si>
    <t>Факт 
І півріччя 2024 року</t>
  </si>
  <si>
    <t>План 
І півріччя 2025 року</t>
  </si>
  <si>
    <t>Факт 
І півріччя 2025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</si>
</sst>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164" formatCode="#,##0&quot;р.&quot;;[Red]\-#,##0&quot;р.&quot;"/>
    <numFmt numFmtId="165" formatCode="#,##0.00&quot;р.&quot;;\-#,##0.00&quot;р.&quot;"/>
    <numFmt numFmtId="166" formatCode="_-* #,##0.00_р_._-;\-* #,##0.00_р_._-;_-* &quot;-&quot;??_р_._-;_-@_-"/>
    <numFmt numFmtId="167" formatCode="_-* #,##0.00_₴_-;\-* #,##0.00_₴_-;_-* &quot;-&quot;??_₴_-;_-@_-"/>
    <numFmt numFmtId="168" formatCode="_-* #,##0.00\ _г_р_н_._-;\-* #,##0.00\ _г_р_н_._-;_-* &quot;-&quot;??\ _г_р_н_._-;_-@_-"/>
    <numFmt numFmtId="169" formatCode="0.0"/>
    <numFmt numFmtId="170" formatCode="#,##0.0"/>
    <numFmt numFmtId="171" formatCode="###\ ##0.000"/>
    <numFmt numFmtId="172" formatCode="_(&quot;$&quot;* #,##0.00_);_(&quot;$&quot;* \(#,##0.00\);_(&quot;$&quot;* &quot;-&quot;??_);_(@_)"/>
    <numFmt numFmtId="173" formatCode="_(* #,##0_);_(* \(#,##0\);_(* &quot;-&quot;_);_(@_)"/>
    <numFmt numFmtId="174" formatCode="_(* #,##0.00_);_(* \(#,##0.00\);_(* &quot;-&quot;??_);_(@_)"/>
    <numFmt numFmtId="175" formatCode="#,##0.0_ ;[Red]\-#,##0.0\ "/>
    <numFmt numFmtId="176" formatCode="0.0;\(0.0\);\ ;\-"/>
    <numFmt numFmtId="177" formatCode="_(* #,##0_);_(* \(#,##0\);_(* &quot;-&quot;??_);_(@_)"/>
    <numFmt numFmtId="178" formatCode="_(* #,##0.0_);_(* \(#,##0.0\);_(* &quot;-&quot;_);_(@_)"/>
    <numFmt numFmtId="179" formatCode="_-* #,##0.0\ _₴_-;\-* #,##0.0\ _₴_-;_-* &quot;-&quot;?\ _₴_-;_-@_-"/>
    <numFmt numFmtId="180" formatCode="_-* #,##0.0_р_._-;\-* #,##0.0_р_._-;_-* &quot;-&quot;?_р_._-;_-@_-"/>
  </numFmts>
  <fonts count="9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sz val="8"/>
      <name val="Arial"/>
      <family val="2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  <charset val="204"/>
    </font>
    <font>
      <sz val="11"/>
      <color indexed="8"/>
      <name val="Arial Cyr"/>
      <family val="2"/>
      <charset val="204"/>
    </font>
    <font>
      <sz val="11"/>
      <color indexed="9"/>
      <name val="Arial Cyr"/>
      <family val="2"/>
      <charset val="204"/>
    </font>
    <font>
      <b/>
      <sz val="12"/>
      <name val="Arial"/>
      <family val="2"/>
      <charset val="204"/>
    </font>
    <font>
      <sz val="10"/>
      <name val="FreeSet"/>
      <family val="2"/>
    </font>
    <font>
      <u/>
      <sz val="10"/>
      <color indexed="12"/>
      <name val="Arial"/>
      <family val="2"/>
      <charset val="204"/>
    </font>
    <font>
      <b/>
      <sz val="14"/>
      <name val="Arial"/>
      <family val="2"/>
      <charset val="204"/>
    </font>
    <font>
      <b/>
      <sz val="12"/>
      <color indexed="9"/>
      <name val="Arial"/>
      <family val="2"/>
      <charset val="204"/>
    </font>
    <font>
      <b/>
      <i/>
      <sz val="14"/>
      <name val="Arial"/>
      <family val="2"/>
      <charset val="204"/>
    </font>
    <font>
      <b/>
      <i/>
      <sz val="14"/>
      <color indexed="9"/>
      <name val="Arial"/>
      <family val="2"/>
      <charset val="204"/>
    </font>
    <font>
      <b/>
      <i/>
      <sz val="12"/>
      <color indexed="9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indexed="9"/>
      <name val="Arial"/>
      <family val="2"/>
      <charset val="204"/>
    </font>
    <font>
      <sz val="12"/>
      <color indexed="9"/>
      <name val="Bookman Old Style"/>
      <family val="1"/>
      <charset val="204"/>
    </font>
    <font>
      <sz val="11"/>
      <name val="Arial"/>
      <family val="2"/>
      <charset val="204"/>
    </font>
    <font>
      <sz val="11"/>
      <color indexed="9"/>
      <name val="Arial"/>
      <family val="2"/>
      <charset val="204"/>
    </font>
    <font>
      <i/>
      <sz val="11"/>
      <name val="Arial"/>
      <family val="2"/>
      <charset val="204"/>
    </font>
    <font>
      <b/>
      <i/>
      <sz val="11"/>
      <color indexed="9"/>
      <name val="Arial"/>
      <family val="2"/>
      <charset val="204"/>
    </font>
    <font>
      <b/>
      <sz val="10"/>
      <name val="Arial"/>
      <family val="2"/>
      <charset val="204"/>
    </font>
    <font>
      <sz val="11"/>
      <color indexed="62"/>
      <name val="Arial Cyr"/>
      <family val="2"/>
      <charset val="204"/>
    </font>
    <font>
      <b/>
      <sz val="11"/>
      <color indexed="63"/>
      <name val="Arial Cyr"/>
      <family val="2"/>
      <charset val="204"/>
    </font>
    <font>
      <b/>
      <sz val="11"/>
      <color indexed="52"/>
      <name val="Arial Cyr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1"/>
      <color indexed="8"/>
      <name val="Arial Cyr"/>
      <family val="2"/>
      <charset val="204"/>
    </font>
    <font>
      <b/>
      <sz val="11"/>
      <color indexed="9"/>
      <name val="Arial Cyr"/>
      <family val="2"/>
      <charset val="204"/>
    </font>
    <font>
      <sz val="11"/>
      <color indexed="60"/>
      <name val="Arial Cyr"/>
      <family val="2"/>
      <charset val="204"/>
    </font>
    <font>
      <sz val="11"/>
      <color indexed="20"/>
      <name val="Arial Cyr"/>
      <family val="2"/>
      <charset val="204"/>
    </font>
    <font>
      <i/>
      <sz val="11"/>
      <color indexed="23"/>
      <name val="Arial Cyr"/>
      <family val="2"/>
      <charset val="204"/>
    </font>
    <font>
      <sz val="12"/>
      <name val="Arial Cyr"/>
      <family val="2"/>
      <charset val="204"/>
    </font>
    <font>
      <sz val="11"/>
      <color indexed="52"/>
      <name val="Arial Cyr"/>
      <family val="2"/>
      <charset val="204"/>
    </font>
    <font>
      <sz val="10"/>
      <name val="Helv"/>
    </font>
    <font>
      <sz val="11"/>
      <color indexed="10"/>
      <name val="Arial Cyr"/>
      <family val="2"/>
      <charset val="204"/>
    </font>
    <font>
      <sz val="12"/>
      <name val="Journal"/>
    </font>
    <font>
      <sz val="11"/>
      <color indexed="17"/>
      <name val="Arial Cyr"/>
      <family val="2"/>
      <charset val="204"/>
    </font>
    <font>
      <sz val="10"/>
      <name val="Tahoma"/>
      <family val="2"/>
      <charset val="204"/>
    </font>
    <font>
      <sz val="10"/>
      <name val="Petersburg"/>
    </font>
    <font>
      <sz val="11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i/>
      <sz val="16"/>
      <color theme="1"/>
      <name val="Times New Roman"/>
      <family val="1"/>
      <charset val="204"/>
    </font>
    <font>
      <b/>
      <u/>
      <sz val="16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u/>
      <sz val="16"/>
      <color theme="1"/>
      <name val="Times New Roman"/>
      <family val="1"/>
      <charset val="204"/>
    </font>
    <font>
      <u/>
      <sz val="16"/>
      <color theme="1"/>
      <name val="Arial Cyr"/>
      <charset val="204"/>
    </font>
    <font>
      <b/>
      <i/>
      <sz val="16"/>
      <color theme="1"/>
      <name val="Times New Roman"/>
      <family val="1"/>
      <charset val="204"/>
    </font>
    <font>
      <sz val="16"/>
      <color theme="1"/>
      <name val="Arial Cyr"/>
      <charset val="204"/>
    </font>
    <font>
      <b/>
      <i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4"/>
      <color theme="0"/>
      <name val="Times New Roman"/>
      <family val="1"/>
      <charset val="204"/>
    </font>
    <font>
      <sz val="16"/>
      <color theme="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u/>
      <sz val="11"/>
      <color indexed="12"/>
      <name val="Calibri"/>
      <family val="2"/>
      <charset val="204"/>
    </font>
    <font>
      <b/>
      <i/>
      <sz val="14"/>
      <color theme="0"/>
      <name val="Times New Roman"/>
      <family val="1"/>
      <charset val="204"/>
    </font>
    <font>
      <b/>
      <sz val="14"/>
      <color rgb="FFFF0000"/>
      <name val="Times New Roman"/>
      <family val="1"/>
      <charset val="204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</fills>
  <borders count="1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56"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5" fillId="2" borderId="0" applyNumberFormat="0" applyBorder="0" applyAlignment="0" applyProtection="0"/>
    <xf numFmtId="0" fontId="2" fillId="2" borderId="0" applyNumberFormat="0" applyBorder="0" applyAlignment="0" applyProtection="0"/>
    <xf numFmtId="0" fontId="25" fillId="3" borderId="0" applyNumberFormat="0" applyBorder="0" applyAlignment="0" applyProtection="0"/>
    <xf numFmtId="0" fontId="2" fillId="3" borderId="0" applyNumberFormat="0" applyBorder="0" applyAlignment="0" applyProtection="0"/>
    <xf numFmtId="0" fontId="25" fillId="4" borderId="0" applyNumberFormat="0" applyBorder="0" applyAlignment="0" applyProtection="0"/>
    <xf numFmtId="0" fontId="2" fillId="4" borderId="0" applyNumberFormat="0" applyBorder="0" applyAlignment="0" applyProtection="0"/>
    <xf numFmtId="0" fontId="25" fillId="5" borderId="0" applyNumberFormat="0" applyBorder="0" applyAlignment="0" applyProtection="0"/>
    <xf numFmtId="0" fontId="2" fillId="5" borderId="0" applyNumberFormat="0" applyBorder="0" applyAlignment="0" applyProtection="0"/>
    <xf numFmtId="0" fontId="25" fillId="6" borderId="0" applyNumberFormat="0" applyBorder="0" applyAlignment="0" applyProtection="0"/>
    <xf numFmtId="0" fontId="2" fillId="6" borderId="0" applyNumberFormat="0" applyBorder="0" applyAlignment="0" applyProtection="0"/>
    <xf numFmtId="0" fontId="25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25" fillId="8" borderId="0" applyNumberFormat="0" applyBorder="0" applyAlignment="0" applyProtection="0"/>
    <xf numFmtId="0" fontId="2" fillId="8" borderId="0" applyNumberFormat="0" applyBorder="0" applyAlignment="0" applyProtection="0"/>
    <xf numFmtId="0" fontId="25" fillId="9" borderId="0" applyNumberFormat="0" applyBorder="0" applyAlignment="0" applyProtection="0"/>
    <xf numFmtId="0" fontId="2" fillId="9" borderId="0" applyNumberFormat="0" applyBorder="0" applyAlignment="0" applyProtection="0"/>
    <xf numFmtId="0" fontId="25" fillId="10" borderId="0" applyNumberFormat="0" applyBorder="0" applyAlignment="0" applyProtection="0"/>
    <xf numFmtId="0" fontId="2" fillId="10" borderId="0" applyNumberFormat="0" applyBorder="0" applyAlignment="0" applyProtection="0"/>
    <xf numFmtId="0" fontId="25" fillId="5" borderId="0" applyNumberFormat="0" applyBorder="0" applyAlignment="0" applyProtection="0"/>
    <xf numFmtId="0" fontId="2" fillId="5" borderId="0" applyNumberFormat="0" applyBorder="0" applyAlignment="0" applyProtection="0"/>
    <xf numFmtId="0" fontId="25" fillId="8" borderId="0" applyNumberFormat="0" applyBorder="0" applyAlignment="0" applyProtection="0"/>
    <xf numFmtId="0" fontId="2" fillId="8" borderId="0" applyNumberFormat="0" applyBorder="0" applyAlignment="0" applyProtection="0"/>
    <xf numFmtId="0" fontId="25" fillId="11" borderId="0" applyNumberFormat="0" applyBorder="0" applyAlignment="0" applyProtection="0"/>
    <xf numFmtId="0" fontId="2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26" fillId="12" borderId="0" applyNumberFormat="0" applyBorder="0" applyAlignment="0" applyProtection="0"/>
    <xf numFmtId="0" fontId="8" fillId="12" borderId="0" applyNumberFormat="0" applyBorder="0" applyAlignment="0" applyProtection="0"/>
    <xf numFmtId="0" fontId="26" fillId="9" borderId="0" applyNumberFormat="0" applyBorder="0" applyAlignment="0" applyProtection="0"/>
    <xf numFmtId="0" fontId="8" fillId="9" borderId="0" applyNumberFormat="0" applyBorder="0" applyAlignment="0" applyProtection="0"/>
    <xf numFmtId="0" fontId="26" fillId="10" borderId="0" applyNumberFormat="0" applyBorder="0" applyAlignment="0" applyProtection="0"/>
    <xf numFmtId="0" fontId="8" fillId="10" borderId="0" applyNumberFormat="0" applyBorder="0" applyAlignment="0" applyProtection="0"/>
    <xf numFmtId="0" fontId="26" fillId="13" borderId="0" applyNumberFormat="0" applyBorder="0" applyAlignment="0" applyProtection="0"/>
    <xf numFmtId="0" fontId="8" fillId="13" borderId="0" applyNumberFormat="0" applyBorder="0" applyAlignment="0" applyProtection="0"/>
    <xf numFmtId="0" fontId="26" fillId="14" borderId="0" applyNumberFormat="0" applyBorder="0" applyAlignment="0" applyProtection="0"/>
    <xf numFmtId="0" fontId="8" fillId="14" borderId="0" applyNumberFormat="0" applyBorder="0" applyAlignment="0" applyProtection="0"/>
    <xf numFmtId="0" fontId="26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9" fillId="3" borderId="0" applyNumberFormat="0" applyBorder="0" applyAlignment="0" applyProtection="0"/>
    <xf numFmtId="0" fontId="11" fillId="20" borderId="1" applyNumberFormat="0" applyAlignment="0" applyProtection="0"/>
    <xf numFmtId="0" fontId="16" fillId="21" borderId="2" applyNumberFormat="0" applyAlignment="0" applyProtection="0"/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168" fontId="6" fillId="0" borderId="0" applyFont="0" applyFill="0" applyBorder="0" applyAlignment="0" applyProtection="0"/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0" fontId="20" fillId="0" borderId="0" applyNumberFormat="0" applyFill="0" applyBorder="0" applyAlignment="0" applyProtection="0"/>
    <xf numFmtId="171" fontId="28" fillId="0" borderId="0" applyAlignment="0">
      <alignment wrapText="1"/>
    </xf>
    <xf numFmtId="0" fontId="23" fillId="4" borderId="0" applyNumberFormat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9" fillId="7" borderId="1" applyNumberFormat="0" applyAlignment="0" applyProtection="0"/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</xf>
    <xf numFmtId="49" fontId="6" fillId="0" borderId="0" applyNumberFormat="0" applyFont="0" applyAlignment="0">
      <alignment vertical="top" wrapText="1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30" fillId="22" borderId="7">
      <alignment horizontal="left" vertical="center"/>
      <protection locked="0"/>
    </xf>
    <xf numFmtId="49" fontId="30" fillId="22" borderId="7">
      <alignment horizontal="left" vertical="center"/>
    </xf>
    <xf numFmtId="4" fontId="30" fillId="22" borderId="7">
      <alignment horizontal="right" vertical="center"/>
      <protection locked="0"/>
    </xf>
    <xf numFmtId="4" fontId="30" fillId="22" borderId="7">
      <alignment horizontal="right" vertical="center"/>
    </xf>
    <xf numFmtId="4" fontId="31" fillId="22" borderId="7">
      <alignment horizontal="right" vertical="center"/>
      <protection locked="0"/>
    </xf>
    <xf numFmtId="49" fontId="32" fillId="22" borderId="3">
      <alignment horizontal="left" vertical="center"/>
      <protection locked="0"/>
    </xf>
    <xf numFmtId="49" fontId="32" fillId="22" borderId="3">
      <alignment horizontal="left" vertical="center"/>
    </xf>
    <xf numFmtId="49" fontId="33" fillId="22" borderId="3">
      <alignment horizontal="left" vertical="center"/>
      <protection locked="0"/>
    </xf>
    <xf numFmtId="49" fontId="33" fillId="22" borderId="3">
      <alignment horizontal="left" vertical="center"/>
    </xf>
    <xf numFmtId="4" fontId="32" fillId="22" borderId="3">
      <alignment horizontal="right" vertical="center"/>
      <protection locked="0"/>
    </xf>
    <xf numFmtId="4" fontId="32" fillId="22" borderId="3">
      <alignment horizontal="right" vertical="center"/>
    </xf>
    <xf numFmtId="4" fontId="34" fillId="22" borderId="3">
      <alignment horizontal="right" vertical="center"/>
      <protection locked="0"/>
    </xf>
    <xf numFmtId="49" fontId="27" fillId="22" borderId="3">
      <alignment horizontal="left" vertical="center"/>
      <protection locked="0"/>
    </xf>
    <xf numFmtId="49" fontId="27" fillId="22" borderId="3">
      <alignment horizontal="left" vertical="center"/>
      <protection locked="0"/>
    </xf>
    <xf numFmtId="49" fontId="27" fillId="22" borderId="3">
      <alignment horizontal="left" vertical="center"/>
    </xf>
    <xf numFmtId="49" fontId="27" fillId="22" borderId="3">
      <alignment horizontal="left" vertical="center"/>
    </xf>
    <xf numFmtId="49" fontId="31" fillId="22" borderId="3">
      <alignment horizontal="left" vertical="center"/>
      <protection locked="0"/>
    </xf>
    <xf numFmtId="49" fontId="31" fillId="22" borderId="3">
      <alignment horizontal="left" vertical="center"/>
    </xf>
    <xf numFmtId="4" fontId="27" fillId="22" borderId="3">
      <alignment horizontal="right" vertical="center"/>
      <protection locked="0"/>
    </xf>
    <xf numFmtId="4" fontId="27" fillId="22" borderId="3">
      <alignment horizontal="right" vertical="center"/>
      <protection locked="0"/>
    </xf>
    <xf numFmtId="4" fontId="27" fillId="22" borderId="3">
      <alignment horizontal="right" vertical="center"/>
    </xf>
    <xf numFmtId="4" fontId="27" fillId="22" borderId="3">
      <alignment horizontal="right" vertical="center"/>
    </xf>
    <xf numFmtId="4" fontId="31" fillId="22" borderId="3">
      <alignment horizontal="right" vertical="center"/>
      <protection locked="0"/>
    </xf>
    <xf numFmtId="49" fontId="35" fillId="22" borderId="3">
      <alignment horizontal="left" vertical="center"/>
      <protection locked="0"/>
    </xf>
    <xf numFmtId="49" fontId="35" fillId="22" borderId="3">
      <alignment horizontal="left" vertical="center"/>
    </xf>
    <xf numFmtId="49" fontId="36" fillId="22" borderId="3">
      <alignment horizontal="left" vertical="center"/>
      <protection locked="0"/>
    </xf>
    <xf numFmtId="49" fontId="36" fillId="22" borderId="3">
      <alignment horizontal="left" vertical="center"/>
    </xf>
    <xf numFmtId="4" fontId="35" fillId="22" borderId="3">
      <alignment horizontal="right" vertical="center"/>
      <protection locked="0"/>
    </xf>
    <xf numFmtId="4" fontId="35" fillId="22" borderId="3">
      <alignment horizontal="right" vertical="center"/>
    </xf>
    <xf numFmtId="4" fontId="37" fillId="22" borderId="3">
      <alignment horizontal="right" vertical="center"/>
      <protection locked="0"/>
    </xf>
    <xf numFmtId="49" fontId="38" fillId="0" borderId="3">
      <alignment horizontal="left" vertical="center"/>
      <protection locked="0"/>
    </xf>
    <xf numFmtId="49" fontId="38" fillId="0" borderId="3">
      <alignment horizontal="left" vertical="center"/>
    </xf>
    <xf numFmtId="49" fontId="39" fillId="0" borderId="3">
      <alignment horizontal="left" vertical="center"/>
      <protection locked="0"/>
    </xf>
    <xf numFmtId="49" fontId="39" fillId="0" borderId="3">
      <alignment horizontal="left" vertical="center"/>
    </xf>
    <xf numFmtId="4" fontId="38" fillId="0" borderId="3">
      <alignment horizontal="right" vertical="center"/>
      <protection locked="0"/>
    </xf>
    <xf numFmtId="4" fontId="38" fillId="0" borderId="3">
      <alignment horizontal="right" vertical="center"/>
    </xf>
    <xf numFmtId="4" fontId="39" fillId="0" borderId="3">
      <alignment horizontal="right" vertical="center"/>
      <protection locked="0"/>
    </xf>
    <xf numFmtId="49" fontId="40" fillId="0" borderId="3">
      <alignment horizontal="left" vertical="center"/>
      <protection locked="0"/>
    </xf>
    <xf numFmtId="49" fontId="40" fillId="0" borderId="3">
      <alignment horizontal="left" vertical="center"/>
    </xf>
    <xf numFmtId="49" fontId="41" fillId="0" borderId="3">
      <alignment horizontal="left" vertical="center"/>
      <protection locked="0"/>
    </xf>
    <xf numFmtId="49" fontId="41" fillId="0" borderId="3">
      <alignment horizontal="left" vertical="center"/>
    </xf>
    <xf numFmtId="4" fontId="40" fillId="0" borderId="3">
      <alignment horizontal="right" vertical="center"/>
      <protection locked="0"/>
    </xf>
    <xf numFmtId="4" fontId="40" fillId="0" borderId="3">
      <alignment horizontal="right" vertical="center"/>
    </xf>
    <xf numFmtId="49" fontId="38" fillId="0" borderId="3">
      <alignment horizontal="left" vertical="center"/>
      <protection locked="0"/>
    </xf>
    <xf numFmtId="49" fontId="39" fillId="0" borderId="3">
      <alignment horizontal="left" vertical="center"/>
      <protection locked="0"/>
    </xf>
    <xf numFmtId="4" fontId="38" fillId="0" borderId="3">
      <alignment horizontal="right" vertical="center"/>
      <protection locked="0"/>
    </xf>
    <xf numFmtId="0" fontId="21" fillId="0" borderId="8" applyNumberFormat="0" applyFill="0" applyAlignment="0" applyProtection="0"/>
    <xf numFmtId="0" fontId="18" fillId="23" borderId="0" applyNumberFormat="0" applyBorder="0" applyAlignment="0" applyProtection="0"/>
    <xf numFmtId="0" fontId="6" fillId="0" borderId="0"/>
    <xf numFmtId="0" fontId="6" fillId="0" borderId="0"/>
    <xf numFmtId="0" fontId="6" fillId="24" borderId="0" applyNumberFormat="0" applyFill="0" applyAlignment="0">
      <alignment horizontal="center"/>
      <protection locked="0"/>
    </xf>
    <xf numFmtId="0" fontId="3" fillId="25" borderId="9" applyNumberFormat="0" applyFont="0" applyAlignment="0" applyProtection="0"/>
    <xf numFmtId="4" fontId="42" fillId="26" borderId="3">
      <alignment horizontal="right" vertical="center"/>
      <protection locked="0"/>
    </xf>
    <xf numFmtId="4" fontId="42" fillId="27" borderId="3">
      <alignment horizontal="right" vertical="center"/>
      <protection locked="0"/>
    </xf>
    <xf numFmtId="4" fontId="42" fillId="28" borderId="3">
      <alignment horizontal="right" vertical="center"/>
      <protection locked="0"/>
    </xf>
    <xf numFmtId="0" fontId="10" fillId="20" borderId="10" applyNumberFormat="0" applyAlignment="0" applyProtection="0"/>
    <xf numFmtId="49" fontId="27" fillId="0" borderId="3">
      <alignment horizontal="left" vertical="center" wrapText="1"/>
      <protection locked="0"/>
    </xf>
    <xf numFmtId="49" fontId="27" fillId="0" borderId="3">
      <alignment horizontal="left" vertical="center" wrapText="1"/>
      <protection locked="0"/>
    </xf>
    <xf numFmtId="0" fontId="17" fillId="0" borderId="0" applyNumberFormat="0" applyFill="0" applyBorder="0" applyAlignment="0" applyProtection="0"/>
    <xf numFmtId="0" fontId="15" fillId="0" borderId="11" applyNumberFormat="0" applyFill="0" applyAlignment="0" applyProtection="0"/>
    <xf numFmtId="0" fontId="22" fillId="0" borderId="0" applyNumberFormat="0" applyFill="0" applyBorder="0" applyAlignment="0" applyProtection="0"/>
    <xf numFmtId="0" fontId="26" fillId="16" borderId="0" applyNumberFormat="0" applyBorder="0" applyAlignment="0" applyProtection="0"/>
    <xf numFmtId="0" fontId="8" fillId="16" borderId="0" applyNumberFormat="0" applyBorder="0" applyAlignment="0" applyProtection="0"/>
    <xf numFmtId="0" fontId="26" fillId="17" borderId="0" applyNumberFormat="0" applyBorder="0" applyAlignment="0" applyProtection="0"/>
    <xf numFmtId="0" fontId="8" fillId="17" borderId="0" applyNumberFormat="0" applyBorder="0" applyAlignment="0" applyProtection="0"/>
    <xf numFmtId="0" fontId="26" fillId="18" borderId="0" applyNumberFormat="0" applyBorder="0" applyAlignment="0" applyProtection="0"/>
    <xf numFmtId="0" fontId="8" fillId="18" borderId="0" applyNumberFormat="0" applyBorder="0" applyAlignment="0" applyProtection="0"/>
    <xf numFmtId="0" fontId="26" fillId="13" borderId="0" applyNumberFormat="0" applyBorder="0" applyAlignment="0" applyProtection="0"/>
    <xf numFmtId="0" fontId="8" fillId="13" borderId="0" applyNumberFormat="0" applyBorder="0" applyAlignment="0" applyProtection="0"/>
    <xf numFmtId="0" fontId="26" fillId="14" borderId="0" applyNumberFormat="0" applyBorder="0" applyAlignment="0" applyProtection="0"/>
    <xf numFmtId="0" fontId="8" fillId="14" borderId="0" applyNumberFormat="0" applyBorder="0" applyAlignment="0" applyProtection="0"/>
    <xf numFmtId="0" fontId="26" fillId="19" borderId="0" applyNumberFormat="0" applyBorder="0" applyAlignment="0" applyProtection="0"/>
    <xf numFmtId="0" fontId="8" fillId="19" borderId="0" applyNumberFormat="0" applyBorder="0" applyAlignment="0" applyProtection="0"/>
    <xf numFmtId="0" fontId="43" fillId="7" borderId="1" applyNumberFormat="0" applyAlignment="0" applyProtection="0"/>
    <xf numFmtId="0" fontId="9" fillId="7" borderId="1" applyNumberFormat="0" applyAlignment="0" applyProtection="0"/>
    <xf numFmtId="0" fontId="44" fillId="20" borderId="10" applyNumberFormat="0" applyAlignment="0" applyProtection="0"/>
    <xf numFmtId="0" fontId="10" fillId="20" borderId="10" applyNumberFormat="0" applyAlignment="0" applyProtection="0"/>
    <xf numFmtId="0" fontId="45" fillId="20" borderId="1" applyNumberFormat="0" applyAlignment="0" applyProtection="0"/>
    <xf numFmtId="0" fontId="11" fillId="20" borderId="1" applyNumberFormat="0" applyAlignment="0" applyProtection="0"/>
    <xf numFmtId="172" fontId="6" fillId="0" borderId="0" applyFont="0" applyFill="0" applyBorder="0" applyAlignment="0" applyProtection="0"/>
    <xf numFmtId="0" fontId="46" fillId="0" borderId="4" applyNumberFormat="0" applyFill="0" applyAlignment="0" applyProtection="0"/>
    <xf numFmtId="0" fontId="12" fillId="0" borderId="4" applyNumberFormat="0" applyFill="0" applyAlignment="0" applyProtection="0"/>
    <xf numFmtId="0" fontId="47" fillId="0" borderId="5" applyNumberFormat="0" applyFill="0" applyAlignment="0" applyProtection="0"/>
    <xf numFmtId="0" fontId="13" fillId="0" borderId="5" applyNumberFormat="0" applyFill="0" applyAlignment="0" applyProtection="0"/>
    <xf numFmtId="0" fontId="48" fillId="0" borderId="6" applyNumberFormat="0" applyFill="0" applyAlignment="0" applyProtection="0"/>
    <xf numFmtId="0" fontId="14" fillId="0" borderId="6" applyNumberFormat="0" applyFill="0" applyAlignment="0" applyProtection="0"/>
    <xf numFmtId="0" fontId="4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9" fillId="0" borderId="11" applyNumberFormat="0" applyFill="0" applyAlignment="0" applyProtection="0"/>
    <xf numFmtId="0" fontId="15" fillId="0" borderId="11" applyNumberFormat="0" applyFill="0" applyAlignment="0" applyProtection="0"/>
    <xf numFmtId="0" fontId="50" fillId="21" borderId="2" applyNumberFormat="0" applyAlignment="0" applyProtection="0"/>
    <xf numFmtId="0" fontId="16" fillId="21" borderId="2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1" fillId="23" borderId="0" applyNumberFormat="0" applyBorder="0" applyAlignment="0" applyProtection="0"/>
    <xf numFmtId="0" fontId="18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" fillId="0" borderId="0"/>
    <xf numFmtId="0" fontId="62" fillId="0" borderId="0"/>
    <xf numFmtId="0" fontId="6" fillId="0" borderId="0"/>
    <xf numFmtId="0" fontId="3" fillId="0" borderId="0"/>
    <xf numFmtId="0" fontId="6" fillId="0" borderId="0"/>
    <xf numFmtId="0" fontId="6" fillId="0" borderId="0" applyNumberFormat="0" applyFont="0" applyFill="0" applyBorder="0" applyAlignment="0" applyProtection="0">
      <alignment vertical="top"/>
    </xf>
    <xf numFmtId="0" fontId="6" fillId="0" borderId="0" applyNumberFormat="0" applyFont="0" applyFill="0" applyBorder="0" applyAlignment="0" applyProtection="0">
      <alignment vertical="top"/>
    </xf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52" fillId="3" borderId="0" applyNumberFormat="0" applyBorder="0" applyAlignment="0" applyProtection="0"/>
    <xf numFmtId="0" fontId="19" fillId="3" borderId="0" applyNumberFormat="0" applyBorder="0" applyAlignment="0" applyProtection="0"/>
    <xf numFmtId="0" fontId="5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4" fillId="25" borderId="9" applyNumberFormat="0" applyFont="0" applyAlignment="0" applyProtection="0"/>
    <xf numFmtId="0" fontId="6" fillId="25" borderId="9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8" applyNumberFormat="0" applyFill="0" applyAlignment="0" applyProtection="0"/>
    <xf numFmtId="0" fontId="21" fillId="0" borderId="8" applyNumberFormat="0" applyFill="0" applyAlignment="0" applyProtection="0"/>
    <xf numFmtId="0" fontId="24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7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173" fontId="58" fillId="0" borderId="0" applyFont="0" applyFill="0" applyBorder="0" applyAlignment="0" applyProtection="0"/>
    <xf numFmtId="174" fontId="5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59" fillId="4" borderId="0" applyNumberFormat="0" applyBorder="0" applyAlignment="0" applyProtection="0"/>
    <xf numFmtId="0" fontId="23" fillId="4" borderId="0" applyNumberFormat="0" applyBorder="0" applyAlignment="0" applyProtection="0"/>
    <xf numFmtId="176" fontId="60" fillId="22" borderId="12" applyFill="0" applyBorder="0">
      <alignment horizontal="center" vertical="center" wrapText="1"/>
      <protection locked="0"/>
    </xf>
    <xf numFmtId="171" fontId="61" fillId="0" borderId="0">
      <alignment wrapText="1"/>
    </xf>
    <xf numFmtId="171" fontId="28" fillId="0" borderId="0">
      <alignment wrapText="1"/>
    </xf>
    <xf numFmtId="0" fontId="6" fillId="0" borderId="0"/>
    <xf numFmtId="0" fontId="1" fillId="0" borderId="0"/>
    <xf numFmtId="0" fontId="88" fillId="0" borderId="0" applyNumberFormat="0" applyFill="0" applyBorder="0" applyAlignment="0" applyProtection="0"/>
  </cellStyleXfs>
  <cellXfs count="274">
    <xf numFmtId="0" fontId="0" fillId="0" borderId="0" xfId="0"/>
    <xf numFmtId="0" fontId="63" fillId="0" borderId="0" xfId="0" applyFont="1" applyFill="1" applyAlignment="1">
      <alignment vertical="center"/>
    </xf>
    <xf numFmtId="0" fontId="66" fillId="0" borderId="0" xfId="0" applyFont="1" applyFill="1" applyBorder="1" applyAlignment="1">
      <alignment vertical="center"/>
    </xf>
    <xf numFmtId="0" fontId="66" fillId="0" borderId="0" xfId="0" applyFont="1" applyFill="1" applyBorder="1" applyAlignment="1">
      <alignment horizontal="center" vertical="center" wrapText="1"/>
    </xf>
    <xf numFmtId="0" fontId="66" fillId="0" borderId="3" xfId="0" applyFont="1" applyFill="1" applyBorder="1" applyAlignment="1">
      <alignment horizontal="center" vertical="center"/>
    </xf>
    <xf numFmtId="0" fontId="64" fillId="0" borderId="0" xfId="0" applyFont="1" applyFill="1" applyBorder="1" applyAlignment="1">
      <alignment vertical="center"/>
    </xf>
    <xf numFmtId="170" fontId="66" fillId="0" borderId="0" xfId="0" applyNumberFormat="1" applyFont="1" applyFill="1" applyBorder="1" applyAlignment="1">
      <alignment horizontal="right" vertical="center" wrapText="1"/>
    </xf>
    <xf numFmtId="0" fontId="66" fillId="0" borderId="0" xfId="0" applyFont="1" applyFill="1" applyBorder="1" applyAlignment="1">
      <alignment horizontal="left" vertical="center" wrapText="1"/>
    </xf>
    <xf numFmtId="0" fontId="66" fillId="0" borderId="0" xfId="0" applyFont="1" applyFill="1" applyBorder="1" applyAlignment="1">
      <alignment vertical="center" wrapText="1"/>
    </xf>
    <xf numFmtId="0" fontId="67" fillId="0" borderId="0" xfId="0" applyFont="1" applyFill="1" applyBorder="1" applyAlignment="1">
      <alignment horizontal="left" vertical="center"/>
    </xf>
    <xf numFmtId="0" fontId="63" fillId="0" borderId="0" xfId="0" applyFont="1" applyFill="1" applyAlignment="1"/>
    <xf numFmtId="0" fontId="74" fillId="0" borderId="0" xfId="0" applyFont="1" applyFill="1" applyAlignment="1">
      <alignment vertical="center"/>
    </xf>
    <xf numFmtId="0" fontId="66" fillId="0" borderId="3" xfId="0" applyFont="1" applyFill="1" applyBorder="1" applyAlignment="1">
      <alignment horizontal="center" vertical="center" wrapText="1"/>
    </xf>
    <xf numFmtId="179" fontId="64" fillId="0" borderId="3" xfId="0" applyNumberFormat="1" applyFont="1" applyFill="1" applyBorder="1" applyAlignment="1">
      <alignment horizontal="center" vertical="center" wrapText="1"/>
    </xf>
    <xf numFmtId="178" fontId="64" fillId="0" borderId="3" xfId="0" applyNumberFormat="1" applyFont="1" applyFill="1" applyBorder="1" applyAlignment="1">
      <alignment horizontal="center" vertical="center" wrapText="1"/>
    </xf>
    <xf numFmtId="178" fontId="66" fillId="0" borderId="3" xfId="0" applyNumberFormat="1" applyFont="1" applyFill="1" applyBorder="1" applyAlignment="1">
      <alignment horizontal="center" vertical="center"/>
    </xf>
    <xf numFmtId="0" fontId="79" fillId="0" borderId="3" xfId="0" applyFont="1" applyFill="1" applyBorder="1" applyAlignment="1">
      <alignment horizontal="center" vertical="center"/>
    </xf>
    <xf numFmtId="0" fontId="79" fillId="0" borderId="3" xfId="0" applyFont="1" applyFill="1" applyBorder="1" applyAlignment="1">
      <alignment horizontal="left" vertical="center" wrapText="1"/>
    </xf>
    <xf numFmtId="178" fontId="66" fillId="0" borderId="3" xfId="0" applyNumberFormat="1" applyFont="1" applyFill="1" applyBorder="1" applyAlignment="1">
      <alignment horizontal="center" vertical="center" wrapText="1"/>
    </xf>
    <xf numFmtId="178" fontId="64" fillId="0" borderId="3" xfId="0" applyNumberFormat="1" applyFont="1" applyFill="1" applyBorder="1" applyAlignment="1">
      <alignment horizontal="center" vertical="center"/>
    </xf>
    <xf numFmtId="179" fontId="66" fillId="0" borderId="0" xfId="0" applyNumberFormat="1" applyFont="1" applyFill="1" applyBorder="1" applyAlignment="1">
      <alignment vertical="center"/>
    </xf>
    <xf numFmtId="0" fontId="79" fillId="0" borderId="3" xfId="0" applyFont="1" applyFill="1" applyBorder="1" applyAlignment="1">
      <alignment vertical="center" wrapText="1"/>
    </xf>
    <xf numFmtId="0" fontId="64" fillId="0" borderId="3" xfId="0" applyFont="1" applyFill="1" applyBorder="1" applyAlignment="1">
      <alignment vertical="center" wrapText="1"/>
    </xf>
    <xf numFmtId="0" fontId="66" fillId="0" borderId="3" xfId="0" applyFont="1" applyFill="1" applyBorder="1" applyAlignment="1">
      <alignment vertical="center"/>
    </xf>
    <xf numFmtId="0" fontId="64" fillId="0" borderId="3" xfId="0" quotePrefix="1" applyFont="1" applyFill="1" applyBorder="1" applyAlignment="1">
      <alignment horizontal="center" vertical="center"/>
    </xf>
    <xf numFmtId="179" fontId="64" fillId="0" borderId="0" xfId="0" applyNumberFormat="1" applyFont="1" applyFill="1" applyBorder="1" applyAlignment="1">
      <alignment vertical="center"/>
    </xf>
    <xf numFmtId="0" fontId="71" fillId="0" borderId="0" xfId="0" applyFont="1" applyFill="1" applyBorder="1" applyAlignment="1">
      <alignment horizontal="center" vertical="center" wrapText="1"/>
    </xf>
    <xf numFmtId="0" fontId="66" fillId="0" borderId="0" xfId="0" quotePrefix="1" applyFont="1" applyFill="1" applyBorder="1" applyAlignment="1">
      <alignment horizontal="center" vertical="center"/>
    </xf>
    <xf numFmtId="0" fontId="71" fillId="0" borderId="0" xfId="0" applyFont="1" applyFill="1" applyBorder="1" applyAlignment="1">
      <alignment vertical="center"/>
    </xf>
    <xf numFmtId="178" fontId="66" fillId="0" borderId="0" xfId="0" applyNumberFormat="1" applyFont="1" applyFill="1" applyBorder="1" applyAlignment="1">
      <alignment horizontal="center" vertical="center" wrapText="1"/>
    </xf>
    <xf numFmtId="170" fontId="64" fillId="0" borderId="0" xfId="0" applyNumberFormat="1" applyFont="1" applyFill="1" applyBorder="1" applyAlignment="1">
      <alignment vertical="center"/>
    </xf>
    <xf numFmtId="179" fontId="64" fillId="0" borderId="0" xfId="0" applyNumberFormat="1" applyFont="1" applyFill="1" applyBorder="1" applyAlignment="1">
      <alignment horizontal="center" vertical="center"/>
    </xf>
    <xf numFmtId="178" fontId="64" fillId="0" borderId="0" xfId="0" applyNumberFormat="1" applyFont="1" applyFill="1" applyBorder="1" applyAlignment="1">
      <alignment horizontal="center" vertical="center"/>
    </xf>
    <xf numFmtId="178" fontId="66" fillId="0" borderId="0" xfId="0" applyNumberFormat="1" applyFont="1" applyFill="1" applyBorder="1" applyAlignment="1">
      <alignment horizontal="center" vertical="center"/>
    </xf>
    <xf numFmtId="178" fontId="66" fillId="0" borderId="0" xfId="0" applyNumberFormat="1" applyFont="1" applyFill="1" applyBorder="1" applyAlignment="1">
      <alignment vertical="center"/>
    </xf>
    <xf numFmtId="0" fontId="65" fillId="0" borderId="3" xfId="0" applyFont="1" applyFill="1" applyBorder="1" applyAlignment="1">
      <alignment horizontal="left" vertical="center"/>
    </xf>
    <xf numFmtId="49" fontId="64" fillId="0" borderId="3" xfId="0" applyNumberFormat="1" applyFont="1" applyFill="1" applyBorder="1" applyAlignment="1">
      <alignment horizontal="center" vertical="center"/>
    </xf>
    <xf numFmtId="49" fontId="80" fillId="0" borderId="3" xfId="0" applyNumberFormat="1" applyFont="1" applyFill="1" applyBorder="1" applyAlignment="1">
      <alignment horizontal="center" vertical="center"/>
    </xf>
    <xf numFmtId="0" fontId="80" fillId="0" borderId="3" xfId="0" applyFont="1" applyFill="1" applyBorder="1" applyAlignment="1">
      <alignment horizontal="left" vertical="center" wrapText="1"/>
    </xf>
    <xf numFmtId="0" fontId="80" fillId="0" borderId="3" xfId="0" applyFont="1" applyFill="1" applyBorder="1" applyAlignment="1">
      <alignment horizontal="center" vertical="center" wrapText="1"/>
    </xf>
    <xf numFmtId="178" fontId="76" fillId="0" borderId="3" xfId="0" applyNumberFormat="1" applyFont="1" applyFill="1" applyBorder="1" applyAlignment="1">
      <alignment horizontal="center" vertical="center" wrapText="1"/>
    </xf>
    <xf numFmtId="178" fontId="76" fillId="0" borderId="3" xfId="0" applyNumberFormat="1" applyFont="1" applyFill="1" applyBorder="1" applyAlignment="1">
      <alignment horizontal="center" vertical="center"/>
    </xf>
    <xf numFmtId="49" fontId="78" fillId="0" borderId="3" xfId="0" applyNumberFormat="1" applyFont="1" applyFill="1" applyBorder="1" applyAlignment="1">
      <alignment horizontal="center" vertical="center"/>
    </xf>
    <xf numFmtId="0" fontId="79" fillId="0" borderId="3" xfId="0" applyFont="1" applyFill="1" applyBorder="1" applyAlignment="1">
      <alignment horizontal="center" vertical="center" wrapText="1"/>
    </xf>
    <xf numFmtId="170" fontId="66" fillId="0" borderId="0" xfId="0" applyNumberFormat="1" applyFont="1" applyFill="1" applyBorder="1" applyAlignment="1">
      <alignment vertical="center"/>
    </xf>
    <xf numFmtId="0" fontId="80" fillId="0" borderId="3" xfId="0" applyFont="1" applyFill="1" applyBorder="1" applyAlignment="1">
      <alignment horizontal="center" vertical="center"/>
    </xf>
    <xf numFmtId="0" fontId="81" fillId="0" borderId="0" xfId="0" applyFont="1" applyFill="1" applyBorder="1" applyAlignment="1">
      <alignment vertical="center"/>
    </xf>
    <xf numFmtId="49" fontId="79" fillId="0" borderId="3" xfId="0" applyNumberFormat="1" applyFont="1" applyFill="1" applyBorder="1" applyAlignment="1">
      <alignment horizontal="center" vertical="center"/>
    </xf>
    <xf numFmtId="178" fontId="66" fillId="0" borderId="0" xfId="0" applyNumberFormat="1" applyFont="1" applyFill="1" applyBorder="1" applyAlignment="1">
      <alignment horizontal="center"/>
    </xf>
    <xf numFmtId="179" fontId="66" fillId="0" borderId="0" xfId="0" applyNumberFormat="1" applyFont="1" applyFill="1" applyBorder="1" applyAlignment="1">
      <alignment horizontal="center"/>
    </xf>
    <xf numFmtId="49" fontId="77" fillId="0" borderId="3" xfId="0" applyNumberFormat="1" applyFont="1" applyFill="1" applyBorder="1" applyAlignment="1">
      <alignment horizontal="center" vertical="center"/>
    </xf>
    <xf numFmtId="169" fontId="66" fillId="0" borderId="0" xfId="0" applyNumberFormat="1" applyFont="1" applyFill="1" applyBorder="1" applyAlignment="1">
      <alignment vertical="center"/>
    </xf>
    <xf numFmtId="0" fontId="77" fillId="0" borderId="3" xfId="0" applyFont="1" applyFill="1" applyBorder="1" applyAlignment="1">
      <alignment horizontal="center" vertical="center"/>
    </xf>
    <xf numFmtId="178" fontId="82" fillId="0" borderId="3" xfId="0" applyNumberFormat="1" applyFont="1" applyFill="1" applyBorder="1" applyAlignment="1">
      <alignment horizontal="center" vertical="center"/>
    </xf>
    <xf numFmtId="0" fontId="77" fillId="0" borderId="3" xfId="0" applyFont="1" applyFill="1" applyBorder="1" applyAlignment="1">
      <alignment horizontal="left" vertical="center" wrapText="1"/>
    </xf>
    <xf numFmtId="0" fontId="80" fillId="0" borderId="15" xfId="0" applyFont="1" applyFill="1" applyBorder="1" applyAlignment="1">
      <alignment vertical="center"/>
    </xf>
    <xf numFmtId="0" fontId="80" fillId="0" borderId="3" xfId="0" applyFont="1" applyFill="1" applyBorder="1" applyAlignment="1">
      <alignment vertical="center" wrapText="1"/>
    </xf>
    <xf numFmtId="0" fontId="77" fillId="0" borderId="3" xfId="0" applyFont="1" applyFill="1" applyBorder="1" applyAlignment="1">
      <alignment vertical="center" wrapText="1"/>
    </xf>
    <xf numFmtId="0" fontId="77" fillId="0" borderId="3" xfId="0" applyFont="1" applyFill="1" applyBorder="1" applyAlignment="1">
      <alignment horizontal="center" vertical="center" wrapText="1"/>
    </xf>
    <xf numFmtId="0" fontId="77" fillId="0" borderId="3" xfId="0" applyFont="1" applyFill="1" applyBorder="1" applyAlignment="1">
      <alignment horizontal="left" vertical="center"/>
    </xf>
    <xf numFmtId="0" fontId="78" fillId="0" borderId="3" xfId="0" applyFont="1" applyFill="1" applyBorder="1" applyAlignment="1">
      <alignment horizontal="left" vertical="center"/>
    </xf>
    <xf numFmtId="0" fontId="79" fillId="0" borderId="13" xfId="0" applyFont="1" applyFill="1" applyBorder="1" applyAlignment="1">
      <alignment horizontal="left" vertical="center" wrapText="1"/>
    </xf>
    <xf numFmtId="0" fontId="78" fillId="0" borderId="3" xfId="0" applyFont="1" applyFill="1" applyBorder="1" applyAlignment="1">
      <alignment horizontal="left" vertical="center" wrapText="1"/>
    </xf>
    <xf numFmtId="0" fontId="76" fillId="0" borderId="3" xfId="0" applyFont="1" applyFill="1" applyBorder="1" applyAlignment="1">
      <alignment vertical="center" wrapText="1"/>
    </xf>
    <xf numFmtId="0" fontId="76" fillId="0" borderId="3" xfId="0" applyFont="1" applyFill="1" applyBorder="1" applyAlignment="1">
      <alignment horizontal="center" vertical="center" wrapText="1"/>
    </xf>
    <xf numFmtId="0" fontId="80" fillId="0" borderId="3" xfId="0" applyFont="1" applyFill="1" applyBorder="1" applyAlignment="1">
      <alignment vertical="center"/>
    </xf>
    <xf numFmtId="49" fontId="76" fillId="0" borderId="3" xfId="0" applyNumberFormat="1" applyFont="1" applyFill="1" applyBorder="1" applyAlignment="1">
      <alignment horizontal="center" vertical="center"/>
    </xf>
    <xf numFmtId="0" fontId="76" fillId="0" borderId="3" xfId="0" applyFont="1" applyFill="1" applyBorder="1" applyAlignment="1">
      <alignment horizontal="left" vertical="center" wrapText="1"/>
    </xf>
    <xf numFmtId="49" fontId="66" fillId="0" borderId="3" xfId="0" applyNumberFormat="1" applyFont="1" applyFill="1" applyBorder="1" applyAlignment="1">
      <alignment horizontal="center" vertical="center"/>
    </xf>
    <xf numFmtId="49" fontId="65" fillId="0" borderId="3" xfId="0" applyNumberFormat="1" applyFont="1" applyFill="1" applyBorder="1" applyAlignment="1">
      <alignment horizontal="center" vertical="center"/>
    </xf>
    <xf numFmtId="0" fontId="77" fillId="0" borderId="3" xfId="0" applyFont="1" applyFill="1" applyBorder="1" applyAlignment="1">
      <alignment vertical="center"/>
    </xf>
    <xf numFmtId="0" fontId="78" fillId="0" borderId="3" xfId="0" applyFont="1" applyFill="1" applyBorder="1" applyAlignment="1">
      <alignment vertical="center"/>
    </xf>
    <xf numFmtId="0" fontId="78" fillId="0" borderId="3" xfId="0" applyFont="1" applyFill="1" applyBorder="1" applyAlignment="1">
      <alignment horizontal="center" vertical="center" wrapText="1"/>
    </xf>
    <xf numFmtId="0" fontId="80" fillId="0" borderId="3" xfId="0" applyFont="1" applyFill="1" applyBorder="1" applyAlignment="1">
      <alignment horizontal="left" vertical="center"/>
    </xf>
    <xf numFmtId="0" fontId="66" fillId="0" borderId="3" xfId="0" applyFont="1" applyFill="1" applyBorder="1" applyAlignment="1">
      <alignment horizontal="left" vertical="center" wrapText="1"/>
    </xf>
    <xf numFmtId="170" fontId="66" fillId="0" borderId="3" xfId="0" applyNumberFormat="1" applyFont="1" applyFill="1" applyBorder="1" applyAlignment="1">
      <alignment horizontal="right" vertical="center" wrapText="1"/>
    </xf>
    <xf numFmtId="0" fontId="71" fillId="0" borderId="0" xfId="0" applyFont="1" applyFill="1" applyBorder="1" applyAlignment="1">
      <alignment horizontal="center" wrapText="1"/>
    </xf>
    <xf numFmtId="0" fontId="64" fillId="0" borderId="0" xfId="0" applyFont="1" applyFill="1" applyBorder="1" applyAlignment="1">
      <alignment horizontal="center" vertical="center"/>
    </xf>
    <xf numFmtId="178" fontId="66" fillId="0" borderId="3" xfId="0" applyNumberFormat="1" applyFont="1" applyFill="1" applyBorder="1" applyAlignment="1">
      <alignment vertical="center"/>
    </xf>
    <xf numFmtId="179" fontId="63" fillId="0" borderId="0" xfId="0" applyNumberFormat="1" applyFont="1" applyFill="1" applyAlignment="1">
      <alignment vertical="center"/>
    </xf>
    <xf numFmtId="180" fontId="66" fillId="0" borderId="0" xfId="0" applyNumberFormat="1" applyFont="1" applyFill="1" applyBorder="1" applyAlignment="1">
      <alignment vertical="center"/>
    </xf>
    <xf numFmtId="0" fontId="23" fillId="0" borderId="0" xfId="349" applyFill="1" applyBorder="1" applyAlignment="1">
      <alignment vertical="center"/>
    </xf>
    <xf numFmtId="0" fontId="76" fillId="0" borderId="0" xfId="0" applyFont="1" applyFill="1" applyBorder="1" applyAlignment="1">
      <alignment vertical="center"/>
    </xf>
    <xf numFmtId="180" fontId="64" fillId="0" borderId="0" xfId="0" applyNumberFormat="1" applyFont="1" applyFill="1" applyBorder="1" applyAlignment="1">
      <alignment vertical="center"/>
    </xf>
    <xf numFmtId="0" fontId="76" fillId="0" borderId="0" xfId="0" applyFont="1" applyFill="1" applyBorder="1" applyAlignment="1">
      <alignment horizontal="center" vertical="center"/>
    </xf>
    <xf numFmtId="0" fontId="64" fillId="0" borderId="0" xfId="0" applyNumberFormat="1" applyFont="1" applyFill="1" applyBorder="1" applyAlignment="1">
      <alignment vertical="center"/>
    </xf>
    <xf numFmtId="0" fontId="76" fillId="0" borderId="0" xfId="0" applyNumberFormat="1" applyFont="1" applyFill="1" applyBorder="1" applyAlignment="1">
      <alignment vertical="center"/>
    </xf>
    <xf numFmtId="178" fontId="64" fillId="0" borderId="0" xfId="0" applyNumberFormat="1" applyFont="1" applyFill="1" applyBorder="1" applyAlignment="1">
      <alignment vertical="center"/>
    </xf>
    <xf numFmtId="0" fontId="63" fillId="0" borderId="0" xfId="0" applyFont="1" applyFill="1" applyAlignment="1">
      <alignment horizontal="right" vertical="center"/>
    </xf>
    <xf numFmtId="0" fontId="63" fillId="0" borderId="13" xfId="0" applyFont="1" applyFill="1" applyBorder="1" applyAlignment="1">
      <alignment vertical="center"/>
    </xf>
    <xf numFmtId="0" fontId="63" fillId="0" borderId="13" xfId="0" applyFont="1" applyFill="1" applyBorder="1" applyAlignment="1">
      <alignment horizontal="center" vertical="center"/>
    </xf>
    <xf numFmtId="178" fontId="83" fillId="0" borderId="3" xfId="0" applyNumberFormat="1" applyFont="1" applyFill="1" applyBorder="1" applyAlignment="1">
      <alignment horizontal="center" vertical="center" wrapText="1"/>
    </xf>
    <xf numFmtId="0" fontId="67" fillId="0" borderId="15" xfId="0" applyFont="1" applyFill="1" applyBorder="1" applyAlignment="1">
      <alignment horizontal="center" vertical="center" wrapText="1"/>
    </xf>
    <xf numFmtId="178" fontId="67" fillId="0" borderId="3" xfId="0" applyNumberFormat="1" applyFont="1" applyFill="1" applyBorder="1" applyAlignment="1">
      <alignment horizontal="center" vertical="center" wrapText="1"/>
    </xf>
    <xf numFmtId="0" fontId="63" fillId="0" borderId="0" xfId="0" applyFont="1" applyFill="1" applyBorder="1" applyAlignment="1">
      <alignment horizontal="center" vertical="center" wrapText="1"/>
    </xf>
    <xf numFmtId="169" fontId="63" fillId="0" borderId="0" xfId="0" applyNumberFormat="1" applyFont="1" applyFill="1" applyBorder="1" applyAlignment="1">
      <alignment horizontal="center" vertical="center" wrapText="1"/>
    </xf>
    <xf numFmtId="0" fontId="67" fillId="0" borderId="0" xfId="0" applyFont="1" applyFill="1" applyBorder="1" applyAlignment="1">
      <alignment horizontal="right" vertical="center"/>
    </xf>
    <xf numFmtId="169" fontId="67" fillId="0" borderId="0" xfId="0" applyNumberFormat="1" applyFont="1" applyFill="1" applyBorder="1" applyAlignment="1">
      <alignment horizontal="right" vertical="center"/>
    </xf>
    <xf numFmtId="0" fontId="69" fillId="0" borderId="0" xfId="0" applyFont="1" applyFill="1" applyBorder="1" applyAlignment="1">
      <alignment horizontal="center" vertical="center"/>
    </xf>
    <xf numFmtId="0" fontId="69" fillId="0" borderId="18" xfId="0" applyFont="1" applyFill="1" applyBorder="1" applyAlignment="1">
      <alignment horizontal="center" vertical="center"/>
    </xf>
    <xf numFmtId="0" fontId="63" fillId="0" borderId="0" xfId="0" applyFont="1" applyFill="1" applyAlignment="1">
      <alignment vertical="center" wrapText="1" shrinkToFit="1"/>
    </xf>
    <xf numFmtId="0" fontId="63" fillId="0" borderId="0" xfId="0" applyFont="1" applyFill="1" applyBorder="1" applyAlignment="1">
      <alignment vertical="center" wrapText="1" shrinkToFit="1"/>
    </xf>
    <xf numFmtId="0" fontId="66" fillId="0" borderId="3" xfId="0" applyFont="1" applyFill="1" applyBorder="1" applyAlignment="1">
      <alignment horizontal="center" vertical="center" wrapText="1" shrinkToFit="1"/>
    </xf>
    <xf numFmtId="0" fontId="76" fillId="0" borderId="3" xfId="0" quotePrefix="1" applyFont="1" applyFill="1" applyBorder="1" applyAlignment="1">
      <alignment horizontal="center" vertical="center"/>
    </xf>
    <xf numFmtId="170" fontId="66" fillId="0" borderId="0" xfId="0" applyNumberFormat="1" applyFont="1" applyFill="1" applyBorder="1" applyAlignment="1">
      <alignment horizontal="center" vertical="center" wrapText="1"/>
    </xf>
    <xf numFmtId="0" fontId="63" fillId="0" borderId="0" xfId="0" applyFont="1" applyFill="1" applyBorder="1" applyAlignment="1">
      <alignment vertical="center"/>
    </xf>
    <xf numFmtId="178" fontId="79" fillId="0" borderId="0" xfId="0" applyNumberFormat="1" applyFont="1" applyFill="1" applyBorder="1" applyAlignment="1">
      <alignment vertical="center"/>
    </xf>
    <xf numFmtId="0" fontId="79" fillId="0" borderId="0" xfId="0" applyFont="1" applyFill="1" applyBorder="1" applyAlignment="1">
      <alignment vertical="center"/>
    </xf>
    <xf numFmtId="179" fontId="81" fillId="0" borderId="0" xfId="0" applyNumberFormat="1" applyFont="1" applyFill="1" applyBorder="1" applyAlignment="1">
      <alignment vertical="center"/>
    </xf>
    <xf numFmtId="170" fontId="66" fillId="0" borderId="3" xfId="0" applyNumberFormat="1" applyFont="1" applyFill="1" applyBorder="1" applyAlignment="1">
      <alignment vertical="center" wrapText="1"/>
    </xf>
    <xf numFmtId="178" fontId="66" fillId="0" borderId="3" xfId="0" applyNumberFormat="1" applyFont="1" applyFill="1" applyBorder="1" applyAlignment="1">
      <alignment vertical="center" wrapText="1"/>
    </xf>
    <xf numFmtId="178" fontId="81" fillId="0" borderId="3" xfId="0" applyNumberFormat="1" applyFont="1" applyFill="1" applyBorder="1" applyAlignment="1">
      <alignment horizontal="center" vertical="center" wrapText="1"/>
    </xf>
    <xf numFmtId="178" fontId="79" fillId="0" borderId="0" xfId="0" applyNumberFormat="1" applyFont="1" applyFill="1" applyBorder="1" applyAlignment="1">
      <alignment horizontal="center" vertical="center"/>
    </xf>
    <xf numFmtId="0" fontId="69" fillId="0" borderId="0" xfId="0" applyFont="1" applyFill="1" applyAlignment="1">
      <alignment horizontal="center" vertical="center"/>
    </xf>
    <xf numFmtId="0" fontId="63" fillId="0" borderId="3" xfId="0" applyFont="1" applyFill="1" applyBorder="1" applyAlignment="1">
      <alignment horizontal="center" vertical="center" wrapText="1" shrinkToFit="1"/>
    </xf>
    <xf numFmtId="0" fontId="67" fillId="0" borderId="3" xfId="182" applyFont="1" applyFill="1" applyBorder="1" applyAlignment="1">
      <alignment vertical="center" wrapText="1"/>
      <protection locked="0"/>
    </xf>
    <xf numFmtId="0" fontId="67" fillId="0" borderId="3" xfId="0" applyFont="1" applyFill="1" applyBorder="1" applyAlignment="1">
      <alignment horizontal="center" vertical="center"/>
    </xf>
    <xf numFmtId="169" fontId="63" fillId="0" borderId="0" xfId="0" applyNumberFormat="1" applyFont="1" applyFill="1" applyBorder="1" applyAlignment="1">
      <alignment vertical="center"/>
    </xf>
    <xf numFmtId="0" fontId="63" fillId="0" borderId="3" xfId="0" applyFont="1" applyFill="1" applyBorder="1" applyAlignment="1">
      <alignment horizontal="left" vertical="center" wrapText="1"/>
    </xf>
    <xf numFmtId="178" fontId="63" fillId="0" borderId="3" xfId="0" applyNumberFormat="1" applyFont="1" applyFill="1" applyBorder="1" applyAlignment="1">
      <alignment horizontal="center" vertical="center" wrapText="1"/>
    </xf>
    <xf numFmtId="178" fontId="84" fillId="0" borderId="3" xfId="0" applyNumberFormat="1" applyFont="1" applyFill="1" applyBorder="1" applyAlignment="1">
      <alignment horizontal="center" vertical="center" wrapText="1"/>
    </xf>
    <xf numFmtId="0" fontId="63" fillId="0" borderId="3" xfId="182" applyFont="1" applyFill="1" applyBorder="1" applyAlignment="1">
      <alignment vertical="center" wrapText="1"/>
      <protection locked="0"/>
    </xf>
    <xf numFmtId="178" fontId="85" fillId="0" borderId="3" xfId="0" applyNumberFormat="1" applyFont="1" applyFill="1" applyBorder="1" applyAlignment="1">
      <alignment horizontal="center" vertical="center" wrapText="1"/>
    </xf>
    <xf numFmtId="179" fontId="63" fillId="0" borderId="0" xfId="0" applyNumberFormat="1" applyFont="1" applyFill="1" applyBorder="1" applyAlignment="1">
      <alignment vertical="center"/>
    </xf>
    <xf numFmtId="170" fontId="63" fillId="0" borderId="3" xfId="0" applyNumberFormat="1" applyFont="1" applyFill="1" applyBorder="1" applyAlignment="1">
      <alignment horizontal="center" vertical="center" wrapText="1"/>
    </xf>
    <xf numFmtId="0" fontId="67" fillId="0" borderId="3" xfId="0" applyFont="1" applyFill="1" applyBorder="1" applyAlignment="1">
      <alignment horizontal="left" vertical="center" wrapText="1"/>
    </xf>
    <xf numFmtId="170" fontId="67" fillId="0" borderId="3" xfId="0" applyNumberFormat="1" applyFont="1" applyFill="1" applyBorder="1" applyAlignment="1">
      <alignment horizontal="center" vertical="center" wrapText="1"/>
    </xf>
    <xf numFmtId="0" fontId="67" fillId="0" borderId="3" xfId="245" applyFont="1" applyFill="1" applyBorder="1" applyAlignment="1">
      <alignment horizontal="left" vertical="center" wrapText="1"/>
    </xf>
    <xf numFmtId="0" fontId="63" fillId="0" borderId="3" xfId="245" applyFont="1" applyFill="1" applyBorder="1" applyAlignment="1">
      <alignment horizontal="left" vertical="center" wrapText="1"/>
    </xf>
    <xf numFmtId="0" fontId="67" fillId="0" borderId="3" xfId="0" applyFont="1" applyFill="1" applyBorder="1" applyAlignment="1" applyProtection="1">
      <alignment horizontal="left" vertical="center" wrapText="1"/>
      <protection locked="0"/>
    </xf>
    <xf numFmtId="49" fontId="67" fillId="0" borderId="3" xfId="0" applyNumberFormat="1" applyFont="1" applyFill="1" applyBorder="1" applyAlignment="1">
      <alignment horizontal="center" vertical="center"/>
    </xf>
    <xf numFmtId="177" fontId="67" fillId="0" borderId="3" xfId="0" applyNumberFormat="1" applyFont="1" applyFill="1" applyBorder="1" applyAlignment="1">
      <alignment horizontal="right" vertical="center" wrapText="1"/>
    </xf>
    <xf numFmtId="177" fontId="67" fillId="0" borderId="3" xfId="0" applyNumberFormat="1" applyFont="1" applyFill="1" applyBorder="1" applyAlignment="1">
      <alignment horizontal="center" vertical="center" wrapText="1"/>
    </xf>
    <xf numFmtId="177" fontId="63" fillId="0" borderId="0" xfId="0" applyNumberFormat="1" applyFont="1" applyFill="1" applyBorder="1" applyAlignment="1">
      <alignment horizontal="center" vertical="center"/>
    </xf>
    <xf numFmtId="177" fontId="63" fillId="0" borderId="3" xfId="0" applyNumberFormat="1" applyFont="1" applyFill="1" applyBorder="1" applyAlignment="1">
      <alignment horizontal="right" vertical="center" wrapText="1"/>
    </xf>
    <xf numFmtId="177" fontId="63" fillId="0" borderId="3" xfId="0" applyNumberFormat="1" applyFont="1" applyFill="1" applyBorder="1" applyAlignment="1">
      <alignment horizontal="center" vertical="center" wrapText="1"/>
    </xf>
    <xf numFmtId="177" fontId="63" fillId="0" borderId="0" xfId="0" applyNumberFormat="1" applyFont="1" applyFill="1" applyBorder="1" applyAlignment="1">
      <alignment vertical="center"/>
    </xf>
    <xf numFmtId="0" fontId="86" fillId="0" borderId="0" xfId="0" applyFont="1" applyFill="1" applyBorder="1" applyAlignment="1" applyProtection="1">
      <alignment horizontal="left" vertical="center" wrapText="1"/>
      <protection locked="0"/>
    </xf>
    <xf numFmtId="49" fontId="86" fillId="0" borderId="0" xfId="0" applyNumberFormat="1" applyFont="1" applyFill="1" applyBorder="1" applyAlignment="1">
      <alignment horizontal="center" vertical="center"/>
    </xf>
    <xf numFmtId="177" fontId="86" fillId="0" borderId="0" xfId="0" applyNumberFormat="1" applyFont="1" applyFill="1" applyBorder="1" applyAlignment="1">
      <alignment horizontal="center" vertical="center" wrapText="1"/>
    </xf>
    <xf numFmtId="178" fontId="67" fillId="0" borderId="3" xfId="0" applyNumberFormat="1" applyFont="1" applyFill="1" applyBorder="1" applyAlignment="1">
      <alignment horizontal="right" vertical="center" wrapText="1"/>
    </xf>
    <xf numFmtId="0" fontId="87" fillId="0" borderId="0" xfId="182" applyFont="1" applyFill="1" applyBorder="1" applyAlignment="1">
      <alignment vertical="center" wrapText="1"/>
      <protection locked="0"/>
    </xf>
    <xf numFmtId="0" fontId="87" fillId="0" borderId="0" xfId="0" applyFont="1" applyFill="1" applyBorder="1" applyAlignment="1">
      <alignment horizontal="center" vertical="center"/>
    </xf>
    <xf numFmtId="177" fontId="87" fillId="0" borderId="0" xfId="0" applyNumberFormat="1" applyFont="1" applyFill="1" applyBorder="1" applyAlignment="1">
      <alignment horizontal="center" vertical="center" wrapText="1"/>
    </xf>
    <xf numFmtId="170" fontId="63" fillId="0" borderId="3" xfId="0" applyNumberFormat="1" applyFont="1" applyFill="1" applyBorder="1" applyAlignment="1">
      <alignment horizontal="right" vertical="center" wrapText="1"/>
    </xf>
    <xf numFmtId="0" fontId="86" fillId="0" borderId="0" xfId="182" applyFont="1" applyFill="1" applyBorder="1" applyAlignment="1">
      <alignment vertical="center" wrapText="1"/>
      <protection locked="0"/>
    </xf>
    <xf numFmtId="0" fontId="86" fillId="0" borderId="0" xfId="0" applyFont="1" applyFill="1" applyBorder="1" applyAlignment="1">
      <alignment horizontal="center" vertical="center"/>
    </xf>
    <xf numFmtId="178" fontId="86" fillId="0" borderId="0" xfId="0" applyNumberFormat="1" applyFont="1" applyFill="1" applyBorder="1" applyAlignment="1">
      <alignment horizontal="center" vertical="center" wrapText="1"/>
    </xf>
    <xf numFmtId="178" fontId="87" fillId="0" borderId="0" xfId="0" applyNumberFormat="1" applyFont="1" applyFill="1" applyBorder="1" applyAlignment="1">
      <alignment horizontal="center" vertical="center" wrapText="1"/>
    </xf>
    <xf numFmtId="179" fontId="63" fillId="0" borderId="0" xfId="0" applyNumberFormat="1" applyFont="1" applyFill="1" applyBorder="1" applyAlignment="1">
      <alignment horizontal="center" vertical="center"/>
    </xf>
    <xf numFmtId="0" fontId="67" fillId="0" borderId="0" xfId="0" applyFont="1" applyFill="1" applyBorder="1" applyAlignment="1" applyProtection="1">
      <alignment horizontal="left" vertical="center"/>
      <protection locked="0"/>
    </xf>
    <xf numFmtId="170" fontId="67" fillId="0" borderId="0" xfId="0" applyNumberFormat="1" applyFont="1" applyFill="1" applyBorder="1" applyAlignment="1">
      <alignment horizontal="right" vertical="center" wrapText="1"/>
    </xf>
    <xf numFmtId="170" fontId="63" fillId="0" borderId="0" xfId="0" applyNumberFormat="1" applyFont="1" applyFill="1" applyBorder="1" applyAlignment="1">
      <alignment horizontal="center" vertical="center" wrapText="1"/>
    </xf>
    <xf numFmtId="0" fontId="63" fillId="0" borderId="0" xfId="0" quotePrefix="1" applyFont="1" applyFill="1" applyBorder="1" applyAlignment="1">
      <alignment horizontal="center" vertical="center"/>
    </xf>
    <xf numFmtId="170" fontId="69" fillId="0" borderId="0" xfId="0" applyNumberFormat="1" applyFont="1" applyFill="1" applyBorder="1" applyAlignment="1">
      <alignment vertical="center"/>
    </xf>
    <xf numFmtId="0" fontId="63" fillId="0" borderId="0" xfId="0" applyFont="1" applyFill="1" applyBorder="1" applyAlignment="1">
      <alignment vertical="center" wrapText="1"/>
    </xf>
    <xf numFmtId="178" fontId="82" fillId="0" borderId="3" xfId="0" applyNumberFormat="1" applyFont="1" applyFill="1" applyBorder="1" applyAlignment="1">
      <alignment horizontal="center" vertical="center" wrapText="1"/>
    </xf>
    <xf numFmtId="178" fontId="89" fillId="0" borderId="3" xfId="0" applyNumberFormat="1" applyFont="1" applyFill="1" applyBorder="1" applyAlignment="1">
      <alignment horizontal="center" vertical="center"/>
    </xf>
    <xf numFmtId="0" fontId="64" fillId="0" borderId="3" xfId="0" applyFont="1" applyFill="1" applyBorder="1" applyAlignment="1">
      <alignment horizontal="left" vertical="center"/>
    </xf>
    <xf numFmtId="0" fontId="66" fillId="0" borderId="0" xfId="0" applyNumberFormat="1" applyFont="1" applyFill="1" applyBorder="1" applyAlignment="1">
      <alignment vertical="center"/>
    </xf>
    <xf numFmtId="0" fontId="67" fillId="0" borderId="0" xfId="0" applyFont="1" applyFill="1" applyBorder="1" applyAlignment="1">
      <alignment vertical="center"/>
    </xf>
    <xf numFmtId="178" fontId="66" fillId="0" borderId="0" xfId="0" applyNumberFormat="1" applyFont="1" applyFill="1" applyBorder="1" applyAlignment="1">
      <alignment vertical="center" wrapText="1"/>
    </xf>
    <xf numFmtId="179" fontId="66" fillId="0" borderId="0" xfId="0" applyNumberFormat="1" applyFont="1" applyFill="1" applyBorder="1" applyAlignment="1"/>
    <xf numFmtId="178" fontId="66" fillId="0" borderId="0" xfId="0" applyNumberFormat="1" applyFont="1" applyFill="1" applyBorder="1" applyAlignment="1"/>
    <xf numFmtId="179" fontId="90" fillId="0" borderId="0" xfId="0" applyNumberFormat="1" applyFont="1" applyFill="1" applyBorder="1" applyAlignment="1">
      <alignment vertical="center"/>
    </xf>
    <xf numFmtId="179" fontId="66" fillId="0" borderId="0" xfId="0" applyNumberFormat="1" applyFont="1" applyFill="1" applyBorder="1" applyAlignment="1">
      <alignment horizontal="center" vertical="center"/>
    </xf>
    <xf numFmtId="178" fontId="79" fillId="0" borderId="3" xfId="0" applyNumberFormat="1" applyFont="1" applyFill="1" applyBorder="1" applyAlignment="1">
      <alignment horizontal="center" vertical="center" wrapText="1"/>
    </xf>
    <xf numFmtId="0" fontId="66" fillId="0" borderId="3" xfId="0" applyFont="1" applyFill="1" applyBorder="1" applyAlignment="1">
      <alignment horizontal="left" vertical="center"/>
    </xf>
    <xf numFmtId="179" fontId="76" fillId="0" borderId="0" xfId="0" applyNumberFormat="1" applyFont="1" applyFill="1" applyBorder="1" applyAlignment="1">
      <alignment vertical="center"/>
    </xf>
    <xf numFmtId="178" fontId="76" fillId="0" borderId="0" xfId="0" applyNumberFormat="1" applyFont="1" applyFill="1" applyBorder="1" applyAlignment="1">
      <alignment vertical="center"/>
    </xf>
    <xf numFmtId="178" fontId="87" fillId="0" borderId="3" xfId="0" applyNumberFormat="1" applyFont="1" applyFill="1" applyBorder="1" applyAlignment="1">
      <alignment horizontal="center" vertical="center" wrapText="1"/>
    </xf>
    <xf numFmtId="0" fontId="66" fillId="0" borderId="0" xfId="0" applyFont="1" applyFill="1" applyBorder="1" applyAlignment="1">
      <alignment horizontal="right" vertical="center"/>
    </xf>
    <xf numFmtId="0" fontId="67" fillId="0" borderId="3" xfId="0" applyFont="1" applyFill="1" applyBorder="1" applyAlignment="1">
      <alignment horizontal="center" vertical="center" wrapText="1"/>
    </xf>
    <xf numFmtId="0" fontId="63" fillId="0" borderId="3" xfId="0" applyFont="1" applyFill="1" applyBorder="1" applyAlignment="1">
      <alignment horizontal="center" vertical="center"/>
    </xf>
    <xf numFmtId="0" fontId="63" fillId="0" borderId="3" xfId="0" applyFont="1" applyFill="1" applyBorder="1" applyAlignment="1">
      <alignment horizontal="center" vertical="center" wrapText="1"/>
    </xf>
    <xf numFmtId="0" fontId="63" fillId="0" borderId="0" xfId="0" applyFont="1" applyFill="1" applyBorder="1" applyAlignment="1">
      <alignment horizontal="center" vertical="center"/>
    </xf>
    <xf numFmtId="0" fontId="63" fillId="0" borderId="0" xfId="0" applyFont="1" applyFill="1" applyAlignment="1">
      <alignment horizontal="left" vertical="center"/>
    </xf>
    <xf numFmtId="0" fontId="68" fillId="0" borderId="3" xfId="0" applyFont="1" applyFill="1" applyBorder="1" applyAlignment="1">
      <alignment horizontal="center" vertical="center"/>
    </xf>
    <xf numFmtId="0" fontId="64" fillId="0" borderId="3" xfId="0" applyFont="1" applyFill="1" applyBorder="1" applyAlignment="1">
      <alignment horizontal="center" vertical="center" wrapText="1"/>
    </xf>
    <xf numFmtId="0" fontId="70" fillId="0" borderId="0" xfId="0" applyFont="1" applyFill="1" applyBorder="1" applyAlignment="1">
      <alignment horizontal="center" wrapText="1"/>
    </xf>
    <xf numFmtId="0" fontId="63" fillId="0" borderId="0" xfId="0" applyFont="1" applyFill="1" applyAlignment="1">
      <alignment horizontal="center" vertical="center"/>
    </xf>
    <xf numFmtId="0" fontId="63" fillId="0" borderId="17" xfId="0" applyFont="1" applyFill="1" applyBorder="1" applyAlignment="1">
      <alignment horizontal="center" vertical="center" wrapText="1"/>
    </xf>
    <xf numFmtId="0" fontId="63" fillId="0" borderId="0" xfId="0" applyFont="1" applyFill="1" applyBorder="1" applyAlignment="1"/>
    <xf numFmtId="0" fontId="63" fillId="0" borderId="18" xfId="0" applyFont="1" applyFill="1" applyBorder="1" applyAlignment="1">
      <alignment horizontal="center" vertical="center"/>
    </xf>
    <xf numFmtId="178" fontId="82" fillId="0" borderId="3" xfId="0" applyNumberFormat="1" applyFont="1" applyFill="1" applyBorder="1" applyAlignment="1">
      <alignment vertical="center"/>
    </xf>
    <xf numFmtId="178" fontId="83" fillId="0" borderId="3" xfId="0" applyNumberFormat="1" applyFont="1" applyFill="1" applyBorder="1" applyAlignment="1">
      <alignment vertical="center"/>
    </xf>
    <xf numFmtId="178" fontId="63" fillId="0" borderId="3" xfId="0" applyNumberFormat="1" applyFont="1" applyFill="1" applyBorder="1" applyAlignment="1">
      <alignment horizontal="right" vertical="center" wrapText="1"/>
    </xf>
    <xf numFmtId="170" fontId="87" fillId="0" borderId="3" xfId="0" applyNumberFormat="1" applyFont="1" applyFill="1" applyBorder="1" applyAlignment="1">
      <alignment horizontal="right" vertical="center" wrapText="1"/>
    </xf>
    <xf numFmtId="178" fontId="86" fillId="0" borderId="3" xfId="0" applyNumberFormat="1" applyFont="1" applyFill="1" applyBorder="1" applyAlignment="1">
      <alignment horizontal="right" vertical="center" wrapText="1"/>
    </xf>
    <xf numFmtId="170" fontId="67" fillId="0" borderId="0" xfId="0" applyNumberFormat="1" applyFont="1" applyFill="1" applyBorder="1" applyAlignment="1">
      <alignment horizontal="center" vertical="center" wrapText="1"/>
    </xf>
    <xf numFmtId="0" fontId="78" fillId="0" borderId="3" xfId="0" applyFont="1" applyFill="1" applyBorder="1" applyAlignment="1">
      <alignment vertical="center" wrapText="1"/>
    </xf>
    <xf numFmtId="178" fontId="83" fillId="0" borderId="3" xfId="0" applyNumberFormat="1" applyFont="1" applyFill="1" applyBorder="1" applyAlignment="1">
      <alignment horizontal="center" vertical="center"/>
    </xf>
    <xf numFmtId="0" fontId="66" fillId="0" borderId="0" xfId="0" applyFont="1" applyFill="1" applyBorder="1" applyAlignment="1">
      <alignment vertical="top"/>
    </xf>
    <xf numFmtId="170" fontId="66" fillId="0" borderId="17" xfId="0" applyNumberFormat="1" applyFont="1" applyFill="1" applyBorder="1" applyAlignment="1">
      <alignment horizontal="right" vertical="center" wrapText="1"/>
    </xf>
    <xf numFmtId="170" fontId="66" fillId="0" borderId="0" xfId="0" applyNumberFormat="1" applyFont="1" applyFill="1" applyBorder="1" applyAlignment="1">
      <alignment vertical="center" wrapText="1"/>
    </xf>
    <xf numFmtId="0" fontId="66" fillId="0" borderId="13" xfId="0" applyFont="1" applyFill="1" applyBorder="1" applyAlignment="1">
      <alignment horizontal="center" vertical="center"/>
    </xf>
    <xf numFmtId="0" fontId="79" fillId="0" borderId="3" xfId="355" applyFont="1" applyFill="1" applyBorder="1" applyAlignment="1">
      <alignment horizontal="left" vertical="center" wrapText="1"/>
    </xf>
    <xf numFmtId="0" fontId="66" fillId="0" borderId="0" xfId="0" applyFont="1" applyFill="1" applyAlignment="1">
      <alignment horizontal="left" vertical="center"/>
    </xf>
    <xf numFmtId="0" fontId="63" fillId="0" borderId="0" xfId="0" applyFont="1" applyFill="1" applyBorder="1" applyAlignment="1">
      <alignment horizontal="center" vertical="center"/>
    </xf>
    <xf numFmtId="0" fontId="63" fillId="0" borderId="3" xfId="0" applyFont="1" applyFill="1" applyBorder="1" applyAlignment="1">
      <alignment horizontal="center" vertical="center" wrapText="1"/>
    </xf>
    <xf numFmtId="0" fontId="63" fillId="0" borderId="3" xfId="0" applyFont="1" applyFill="1" applyBorder="1" applyAlignment="1">
      <alignment horizontal="center" vertical="center"/>
    </xf>
    <xf numFmtId="0" fontId="67" fillId="0" borderId="3" xfId="0" applyFont="1" applyFill="1" applyBorder="1" applyAlignment="1">
      <alignment horizontal="center" vertical="center" wrapText="1"/>
    </xf>
    <xf numFmtId="0" fontId="64" fillId="0" borderId="3" xfId="0" applyFont="1" applyFill="1" applyBorder="1" applyAlignment="1">
      <alignment horizontal="left" vertical="center" wrapText="1"/>
    </xf>
    <xf numFmtId="0" fontId="66" fillId="0" borderId="0" xfId="0" applyFont="1" applyFill="1" applyBorder="1" applyAlignment="1">
      <alignment horizontal="center" vertical="center"/>
    </xf>
    <xf numFmtId="0" fontId="66" fillId="0" borderId="0" xfId="0" applyFont="1" applyFill="1" applyBorder="1" applyAlignment="1">
      <alignment horizontal="left" vertical="center"/>
    </xf>
    <xf numFmtId="0" fontId="64" fillId="0" borderId="3" xfId="0" applyFont="1" applyFill="1" applyBorder="1" applyAlignment="1">
      <alignment horizontal="center" vertical="center"/>
    </xf>
    <xf numFmtId="0" fontId="64" fillId="0" borderId="0" xfId="0" applyFont="1" applyFill="1" applyBorder="1" applyAlignment="1">
      <alignment horizontal="center" vertical="center" wrapText="1"/>
    </xf>
    <xf numFmtId="0" fontId="66" fillId="0" borderId="0" xfId="0" applyFont="1" applyFill="1" applyBorder="1" applyAlignment="1">
      <alignment horizontal="center" vertical="top"/>
    </xf>
    <xf numFmtId="0" fontId="63" fillId="0" borderId="0" xfId="0" applyFont="1" applyFill="1" applyBorder="1" applyAlignment="1">
      <alignment horizontal="center"/>
    </xf>
    <xf numFmtId="0" fontId="63" fillId="0" borderId="0" xfId="0" applyFont="1" applyFill="1" applyAlignment="1">
      <alignment horizontal="center" vertical="center"/>
    </xf>
    <xf numFmtId="0" fontId="66" fillId="0" borderId="15" xfId="0" applyFont="1" applyFill="1" applyBorder="1" applyAlignment="1">
      <alignment horizontal="left" vertical="center" wrapText="1"/>
    </xf>
    <xf numFmtId="0" fontId="66" fillId="0" borderId="15" xfId="0" applyFont="1" applyFill="1" applyBorder="1" applyAlignment="1">
      <alignment horizontal="left" vertical="center"/>
    </xf>
    <xf numFmtId="0" fontId="79" fillId="0" borderId="15" xfId="0" applyFont="1" applyFill="1" applyBorder="1" applyAlignment="1">
      <alignment horizontal="left" vertical="center" wrapText="1"/>
    </xf>
    <xf numFmtId="0" fontId="67" fillId="0" borderId="3" xfId="0" applyFont="1" applyFill="1" applyBorder="1" applyAlignment="1">
      <alignment horizontal="center" vertical="center" wrapText="1"/>
    </xf>
    <xf numFmtId="0" fontId="68" fillId="0" borderId="0" xfId="0" applyFont="1" applyFill="1" applyBorder="1" applyAlignment="1">
      <alignment horizontal="center" vertical="center"/>
    </xf>
    <xf numFmtId="0" fontId="68" fillId="0" borderId="0" xfId="0" applyFont="1" applyFill="1" applyBorder="1" applyAlignment="1">
      <alignment horizontal="center" vertical="center" wrapText="1"/>
    </xf>
    <xf numFmtId="0" fontId="63" fillId="0" borderId="3" xfId="0" applyFont="1" applyFill="1" applyBorder="1" applyAlignment="1">
      <alignment horizontal="center" vertical="center"/>
    </xf>
    <xf numFmtId="0" fontId="63" fillId="0" borderId="3" xfId="0" applyFont="1" applyFill="1" applyBorder="1" applyAlignment="1">
      <alignment horizontal="center" vertical="center" wrapText="1"/>
    </xf>
    <xf numFmtId="0" fontId="68" fillId="0" borderId="3" xfId="0" applyFont="1" applyFill="1" applyBorder="1" applyAlignment="1">
      <alignment horizontal="center" vertical="center" wrapText="1"/>
    </xf>
    <xf numFmtId="0" fontId="63" fillId="0" borderId="0" xfId="0" applyFont="1" applyFill="1" applyBorder="1" applyAlignment="1">
      <alignment horizontal="center" vertical="center"/>
    </xf>
    <xf numFmtId="0" fontId="63" fillId="0" borderId="0" xfId="0" applyFont="1" applyFill="1" applyAlignment="1">
      <alignment horizontal="left" vertical="center"/>
    </xf>
    <xf numFmtId="170" fontId="63" fillId="0" borderId="13" xfId="0" applyNumberFormat="1" applyFont="1" applyFill="1" applyBorder="1" applyAlignment="1">
      <alignment horizontal="center" vertical="center" wrapText="1"/>
    </xf>
    <xf numFmtId="170" fontId="63" fillId="0" borderId="13" xfId="0" quotePrefix="1" applyNumberFormat="1" applyFont="1" applyFill="1" applyBorder="1" applyAlignment="1">
      <alignment horizontal="center" vertical="center" wrapText="1"/>
    </xf>
    <xf numFmtId="0" fontId="68" fillId="0" borderId="3" xfId="0" applyFont="1" applyFill="1" applyBorder="1" applyAlignment="1">
      <alignment horizontal="center" vertical="center"/>
    </xf>
    <xf numFmtId="0" fontId="68" fillId="0" borderId="3" xfId="0" applyFont="1" applyFill="1" applyBorder="1" applyAlignment="1" applyProtection="1">
      <alignment horizontal="center" vertical="center"/>
      <protection locked="0"/>
    </xf>
    <xf numFmtId="0" fontId="64" fillId="0" borderId="13" xfId="0" applyFont="1" applyFill="1" applyBorder="1" applyAlignment="1">
      <alignment horizontal="center"/>
    </xf>
    <xf numFmtId="0" fontId="67" fillId="0" borderId="0" xfId="0" applyFont="1" applyFill="1" applyBorder="1" applyAlignment="1">
      <alignment horizontal="center" vertical="center" wrapText="1"/>
    </xf>
    <xf numFmtId="170" fontId="66" fillId="0" borderId="13" xfId="0" applyNumberFormat="1" applyFont="1" applyFill="1" applyBorder="1" applyAlignment="1">
      <alignment horizontal="center" vertical="center" wrapText="1"/>
    </xf>
    <xf numFmtId="0" fontId="66" fillId="0" borderId="0" xfId="0" applyFont="1" applyFill="1" applyBorder="1" applyAlignment="1">
      <alignment horizontal="left" vertical="center"/>
    </xf>
    <xf numFmtId="0" fontId="64" fillId="0" borderId="3" xfId="0" applyFont="1" applyFill="1" applyBorder="1" applyAlignment="1">
      <alignment horizontal="center" vertical="center"/>
    </xf>
    <xf numFmtId="0" fontId="64" fillId="0" borderId="3" xfId="0" applyFont="1" applyFill="1" applyBorder="1" applyAlignment="1">
      <alignment horizontal="left" vertical="center" wrapText="1"/>
    </xf>
    <xf numFmtId="0" fontId="71" fillId="0" borderId="0" xfId="0" applyFont="1" applyFill="1" applyBorder="1" applyAlignment="1">
      <alignment horizontal="center"/>
    </xf>
    <xf numFmtId="0" fontId="66" fillId="0" borderId="0" xfId="0" applyFont="1" applyFill="1" applyBorder="1" applyAlignment="1">
      <alignment horizontal="center" vertical="center"/>
    </xf>
    <xf numFmtId="0" fontId="64" fillId="0" borderId="0" xfId="0" applyFont="1" applyFill="1" applyBorder="1" applyAlignment="1">
      <alignment horizontal="center" vertical="center" wrapText="1"/>
    </xf>
    <xf numFmtId="0" fontId="64" fillId="0" borderId="14" xfId="0" applyFont="1" applyFill="1" applyBorder="1" applyAlignment="1">
      <alignment horizontal="center"/>
    </xf>
    <xf numFmtId="0" fontId="66" fillId="0" borderId="0" xfId="0" applyFont="1" applyFill="1" applyBorder="1" applyAlignment="1">
      <alignment horizontal="center" vertical="top"/>
    </xf>
    <xf numFmtId="0" fontId="66" fillId="0" borderId="14" xfId="0" quotePrefix="1" applyFont="1" applyFill="1" applyBorder="1" applyAlignment="1">
      <alignment horizontal="center" vertical="center"/>
    </xf>
    <xf numFmtId="0" fontId="66" fillId="0" borderId="18" xfId="0" applyFont="1" applyFill="1" applyBorder="1" applyAlignment="1">
      <alignment horizontal="center" vertical="top"/>
    </xf>
    <xf numFmtId="170" fontId="66" fillId="0" borderId="13" xfId="0" applyNumberFormat="1" applyFont="1" applyFill="1" applyBorder="1" applyAlignment="1">
      <alignment horizontal="left" vertical="center" wrapText="1"/>
    </xf>
    <xf numFmtId="0" fontId="66" fillId="0" borderId="15" xfId="0" applyFont="1" applyFill="1" applyBorder="1" applyAlignment="1">
      <alignment horizontal="left" vertical="center"/>
    </xf>
    <xf numFmtId="0" fontId="66" fillId="0" borderId="14" xfId="0" applyFont="1" applyFill="1" applyBorder="1" applyAlignment="1">
      <alignment horizontal="left" vertical="center"/>
    </xf>
    <xf numFmtId="0" fontId="66" fillId="0" borderId="16" xfId="0" applyFont="1" applyFill="1" applyBorder="1" applyAlignment="1">
      <alignment horizontal="left" vertical="center"/>
    </xf>
    <xf numFmtId="0" fontId="66" fillId="0" borderId="15" xfId="0" applyFont="1" applyFill="1" applyBorder="1" applyAlignment="1">
      <alignment horizontal="left" vertical="center" wrapText="1"/>
    </xf>
    <xf numFmtId="0" fontId="66" fillId="0" borderId="14" xfId="0" applyFont="1" applyFill="1" applyBorder="1" applyAlignment="1">
      <alignment horizontal="left" vertical="center" wrapText="1"/>
    </xf>
    <xf numFmtId="0" fontId="66" fillId="0" borderId="16" xfId="0" applyFont="1" applyFill="1" applyBorder="1" applyAlignment="1">
      <alignment horizontal="left" vertical="center" wrapText="1"/>
    </xf>
    <xf numFmtId="0" fontId="79" fillId="0" borderId="15" xfId="0" applyFont="1" applyFill="1" applyBorder="1" applyAlignment="1">
      <alignment horizontal="left" vertical="center" wrapText="1"/>
    </xf>
    <xf numFmtId="0" fontId="79" fillId="0" borderId="14" xfId="0" applyFont="1" applyFill="1" applyBorder="1" applyAlignment="1">
      <alignment horizontal="left" vertical="center" wrapText="1"/>
    </xf>
    <xf numFmtId="0" fontId="79" fillId="0" borderId="16" xfId="0" applyFont="1" applyFill="1" applyBorder="1" applyAlignment="1">
      <alignment horizontal="left" vertical="center" wrapText="1"/>
    </xf>
    <xf numFmtId="3" fontId="64" fillId="0" borderId="15" xfId="0" applyNumberFormat="1" applyFont="1" applyFill="1" applyBorder="1" applyAlignment="1">
      <alignment horizontal="left" vertical="center" wrapText="1"/>
    </xf>
    <xf numFmtId="3" fontId="64" fillId="0" borderId="14" xfId="0" applyNumberFormat="1" applyFont="1" applyFill="1" applyBorder="1" applyAlignment="1">
      <alignment horizontal="left" vertical="center" wrapText="1"/>
    </xf>
    <xf numFmtId="0" fontId="74" fillId="0" borderId="0" xfId="0" applyFont="1" applyFill="1" applyAlignment="1">
      <alignment vertical="center" wrapText="1"/>
    </xf>
    <xf numFmtId="0" fontId="75" fillId="0" borderId="0" xfId="0" applyFont="1" applyFill="1" applyAlignment="1">
      <alignment vertical="center" wrapText="1"/>
    </xf>
    <xf numFmtId="0" fontId="70" fillId="0" borderId="0" xfId="0" applyFont="1" applyFill="1" applyBorder="1" applyAlignment="1">
      <alignment horizontal="center" wrapText="1"/>
    </xf>
    <xf numFmtId="0" fontId="73" fillId="0" borderId="0" xfId="0" applyFont="1" applyFill="1" applyAlignment="1">
      <alignment horizontal="center"/>
    </xf>
    <xf numFmtId="0" fontId="63" fillId="0" borderId="0" xfId="0" applyFont="1" applyFill="1" applyBorder="1" applyAlignment="1">
      <alignment horizontal="center"/>
    </xf>
    <xf numFmtId="0" fontId="63" fillId="0" borderId="0" xfId="0" applyFont="1" applyFill="1" applyAlignment="1">
      <alignment horizontal="center" vertical="center"/>
    </xf>
    <xf numFmtId="0" fontId="67" fillId="0" borderId="0" xfId="0" applyFont="1" applyFill="1" applyBorder="1" applyAlignment="1">
      <alignment horizontal="center" vertical="center"/>
    </xf>
    <xf numFmtId="0" fontId="64" fillId="0" borderId="15" xfId="0" applyFont="1" applyFill="1" applyBorder="1" applyAlignment="1">
      <alignment horizontal="left" vertical="center" wrapText="1"/>
    </xf>
    <xf numFmtId="0" fontId="64" fillId="0" borderId="14" xfId="0" applyFont="1" applyFill="1" applyBorder="1" applyAlignment="1">
      <alignment horizontal="left" vertical="center" wrapText="1"/>
    </xf>
    <xf numFmtId="0" fontId="64" fillId="0" borderId="16" xfId="0" applyFont="1" applyFill="1" applyBorder="1" applyAlignment="1">
      <alignment horizontal="left" vertical="center" wrapText="1"/>
    </xf>
    <xf numFmtId="178" fontId="64" fillId="0" borderId="3" xfId="0" applyNumberFormat="1" applyFont="1" applyFill="1" applyBorder="1" applyAlignment="1">
      <alignment vertical="center"/>
    </xf>
    <xf numFmtId="0" fontId="76" fillId="0" borderId="15" xfId="0" applyFont="1" applyFill="1" applyBorder="1" applyAlignment="1">
      <alignment horizontal="left" vertical="center" wrapText="1"/>
    </xf>
    <xf numFmtId="0" fontId="76" fillId="0" borderId="3" xfId="0" quotePrefix="1" applyFont="1" applyFill="1" applyBorder="1" applyAlignment="1">
      <alignment horizontal="center" vertical="center" wrapText="1"/>
    </xf>
    <xf numFmtId="178" fontId="89" fillId="0" borderId="3" xfId="0" applyNumberFormat="1" applyFont="1" applyFill="1" applyBorder="1" applyAlignment="1">
      <alignment vertical="center"/>
    </xf>
    <xf numFmtId="0" fontId="66" fillId="0" borderId="3" xfId="0" applyFont="1" applyFill="1" applyBorder="1" applyAlignment="1">
      <alignment vertical="center" wrapText="1"/>
    </xf>
    <xf numFmtId="0" fontId="79" fillId="0" borderId="15" xfId="0" applyFont="1" applyFill="1" applyBorder="1" applyAlignment="1">
      <alignment vertical="center" wrapText="1"/>
    </xf>
    <xf numFmtId="0" fontId="79" fillId="0" borderId="15" xfId="0" applyFont="1" applyFill="1" applyBorder="1" applyAlignment="1">
      <alignment vertical="center"/>
    </xf>
    <xf numFmtId="0" fontId="79" fillId="0" borderId="3" xfId="0" applyFont="1" applyFill="1" applyBorder="1" applyAlignment="1">
      <alignment vertical="center"/>
    </xf>
    <xf numFmtId="0" fontId="79" fillId="0" borderId="3" xfId="0" applyFont="1" applyFill="1" applyBorder="1" applyAlignment="1">
      <alignment horizontal="left" vertical="center"/>
    </xf>
    <xf numFmtId="0" fontId="79" fillId="0" borderId="13" xfId="0" applyFont="1" applyFill="1" applyBorder="1" applyAlignment="1">
      <alignment horizontal="left" vertical="center"/>
    </xf>
    <xf numFmtId="169" fontId="64" fillId="0" borderId="3" xfId="0" applyNumberFormat="1" applyFont="1" applyFill="1" applyBorder="1" applyAlignment="1">
      <alignment horizontal="right" vertical="center"/>
    </xf>
    <xf numFmtId="0" fontId="64" fillId="0" borderId="3" xfId="0" applyFont="1" applyFill="1" applyBorder="1" applyAlignment="1">
      <alignment horizontal="left" vertical="center"/>
    </xf>
    <xf numFmtId="0" fontId="64" fillId="0" borderId="3" xfId="0" applyFont="1" applyFill="1" applyBorder="1" applyAlignment="1">
      <alignment horizontal="center" vertical="center" wrapText="1"/>
    </xf>
    <xf numFmtId="178" fontId="77" fillId="0" borderId="3" xfId="0" applyNumberFormat="1" applyFont="1" applyFill="1" applyBorder="1" applyAlignment="1">
      <alignment horizontal="center" vertical="center" wrapText="1"/>
    </xf>
  </cellXfs>
  <cellStyles count="356"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Comma_2005_03_15-Финансовый_БГ" xfId="85"/>
    <cellStyle name="Define-Column" xfId="86"/>
    <cellStyle name="Define-Column 10" xfId="87"/>
    <cellStyle name="Define-Column 2" xfId="88"/>
    <cellStyle name="Define-Column 3" xfId="89"/>
    <cellStyle name="Define-Column 4" xfId="90"/>
    <cellStyle name="Define-Column 5" xfId="91"/>
    <cellStyle name="Define-Column 6" xfId="92"/>
    <cellStyle name="Define-Column 7" xfId="93"/>
    <cellStyle name="Define-Column 7 2" xfId="94"/>
    <cellStyle name="Define-Column 7 3" xfId="95"/>
    <cellStyle name="Define-Column 8" xfId="96"/>
    <cellStyle name="Define-Column 8 2" xfId="97"/>
    <cellStyle name="Define-Column 8 3" xfId="98"/>
    <cellStyle name="Define-Column 9" xfId="99"/>
    <cellStyle name="Define-Column 9 2" xfId="100"/>
    <cellStyle name="Define-Column 9 3" xfId="101"/>
    <cellStyle name="Define-Column_Zvit rux-koshtiv 2010 Департамент " xfId="102"/>
    <cellStyle name="Explanatory Text" xfId="103"/>
    <cellStyle name="FS10" xfId="104"/>
    <cellStyle name="Good" xfId="105"/>
    <cellStyle name="Heading 1" xfId="106"/>
    <cellStyle name="Heading 2" xfId="107"/>
    <cellStyle name="Heading 3" xfId="108"/>
    <cellStyle name="Heading 4" xfId="109"/>
    <cellStyle name="Hyperlink 2" xfId="110"/>
    <cellStyle name="Input" xfId="111"/>
    <cellStyle name="Level0" xfId="112"/>
    <cellStyle name="Level0 10" xfId="113"/>
    <cellStyle name="Level0 2" xfId="114"/>
    <cellStyle name="Level0 2 2" xfId="115"/>
    <cellStyle name="Level0 3" xfId="116"/>
    <cellStyle name="Level0 3 2" xfId="117"/>
    <cellStyle name="Level0 4" xfId="118"/>
    <cellStyle name="Level0 4 2" xfId="119"/>
    <cellStyle name="Level0 5" xfId="120"/>
    <cellStyle name="Level0 6" xfId="121"/>
    <cellStyle name="Level0 7" xfId="122"/>
    <cellStyle name="Level0 7 2" xfId="123"/>
    <cellStyle name="Level0 7 3" xfId="124"/>
    <cellStyle name="Level0 8" xfId="125"/>
    <cellStyle name="Level0 8 2" xfId="126"/>
    <cellStyle name="Level0 8 3" xfId="127"/>
    <cellStyle name="Level0 9" xfId="128"/>
    <cellStyle name="Level0 9 2" xfId="129"/>
    <cellStyle name="Level0 9 3" xfId="130"/>
    <cellStyle name="Level0_Zvit rux-koshtiv 2010 Департамент " xfId="131"/>
    <cellStyle name="Level1" xfId="132"/>
    <cellStyle name="Level1 2" xfId="133"/>
    <cellStyle name="Level1-Numbers" xfId="134"/>
    <cellStyle name="Level1-Numbers 2" xfId="135"/>
    <cellStyle name="Level1-Numbers-Hide" xfId="136"/>
    <cellStyle name="Level2" xfId="137"/>
    <cellStyle name="Level2 2" xfId="138"/>
    <cellStyle name="Level2-Hide" xfId="139"/>
    <cellStyle name="Level2-Hide 2" xfId="140"/>
    <cellStyle name="Level2-Numbers" xfId="141"/>
    <cellStyle name="Level2-Numbers 2" xfId="142"/>
    <cellStyle name="Level2-Numbers-Hide" xfId="143"/>
    <cellStyle name="Level3" xfId="144"/>
    <cellStyle name="Level3 2" xfId="145"/>
    <cellStyle name="Level3 3" xfId="146"/>
    <cellStyle name="Level3_План департамент_2010_1207" xfId="147"/>
    <cellStyle name="Level3-Hide" xfId="148"/>
    <cellStyle name="Level3-Hide 2" xfId="149"/>
    <cellStyle name="Level3-Numbers" xfId="150"/>
    <cellStyle name="Level3-Numbers 2" xfId="151"/>
    <cellStyle name="Level3-Numbers 3" xfId="152"/>
    <cellStyle name="Level3-Numbers_План департамент_2010_1207" xfId="153"/>
    <cellStyle name="Level3-Numbers-Hide" xfId="154"/>
    <cellStyle name="Level4" xfId="155"/>
    <cellStyle name="Level4 2" xfId="156"/>
    <cellStyle name="Level4-Hide" xfId="157"/>
    <cellStyle name="Level4-Hide 2" xfId="158"/>
    <cellStyle name="Level4-Numbers" xfId="159"/>
    <cellStyle name="Level4-Numbers 2" xfId="160"/>
    <cellStyle name="Level4-Numbers-Hide" xfId="161"/>
    <cellStyle name="Level5" xfId="162"/>
    <cellStyle name="Level5 2" xfId="163"/>
    <cellStyle name="Level5-Hide" xfId="164"/>
    <cellStyle name="Level5-Hide 2" xfId="165"/>
    <cellStyle name="Level5-Numbers" xfId="166"/>
    <cellStyle name="Level5-Numbers 2" xfId="167"/>
    <cellStyle name="Level5-Numbers-Hide" xfId="168"/>
    <cellStyle name="Level6" xfId="169"/>
    <cellStyle name="Level6 2" xfId="170"/>
    <cellStyle name="Level6-Hide" xfId="171"/>
    <cellStyle name="Level6-Hide 2" xfId="172"/>
    <cellStyle name="Level6-Numbers" xfId="173"/>
    <cellStyle name="Level6-Numbers 2" xfId="174"/>
    <cellStyle name="Level7" xfId="175"/>
    <cellStyle name="Level7-Hide" xfId="176"/>
    <cellStyle name="Level7-Numbers" xfId="177"/>
    <cellStyle name="Linked Cell" xfId="178"/>
    <cellStyle name="Neutral" xfId="179"/>
    <cellStyle name="Normal 2" xfId="180"/>
    <cellStyle name="Normal_2005_03_15-Финансовый_БГ" xfId="181"/>
    <cellStyle name="Normal_GSE DCF_Model_31_07_09 final" xfId="182"/>
    <cellStyle name="Note" xfId="183"/>
    <cellStyle name="Number-Cells" xfId="184"/>
    <cellStyle name="Number-Cells-Column2" xfId="185"/>
    <cellStyle name="Number-Cells-Column5" xfId="186"/>
    <cellStyle name="Output" xfId="187"/>
    <cellStyle name="Row-Header" xfId="188"/>
    <cellStyle name="Row-Header 2" xfId="189"/>
    <cellStyle name="Title" xfId="190"/>
    <cellStyle name="Total" xfId="191"/>
    <cellStyle name="Warning Text" xfId="192"/>
    <cellStyle name="Акцент1 2" xfId="193"/>
    <cellStyle name="Акцент1 3" xfId="194"/>
    <cellStyle name="Акцент2 2" xfId="195"/>
    <cellStyle name="Акцент2 3" xfId="196"/>
    <cellStyle name="Акцент3 2" xfId="197"/>
    <cellStyle name="Акцент3 3" xfId="198"/>
    <cellStyle name="Акцент4 2" xfId="199"/>
    <cellStyle name="Акцент4 3" xfId="200"/>
    <cellStyle name="Акцент5 2" xfId="201"/>
    <cellStyle name="Акцент5 3" xfId="202"/>
    <cellStyle name="Акцент6 2" xfId="203"/>
    <cellStyle name="Акцент6 3" xfId="204"/>
    <cellStyle name="Ввод  2" xfId="205"/>
    <cellStyle name="Ввод  3" xfId="206"/>
    <cellStyle name="Вывод 2" xfId="207"/>
    <cellStyle name="Вывод 3" xfId="208"/>
    <cellStyle name="Вычисление 2" xfId="209"/>
    <cellStyle name="Вычисление 3" xfId="210"/>
    <cellStyle name="Гиперссылка" xfId="355" builtinId="8"/>
    <cellStyle name="Денежный 2" xfId="211"/>
    <cellStyle name="Заголовок 1 2" xfId="212"/>
    <cellStyle name="Заголовок 1 3" xfId="213"/>
    <cellStyle name="Заголовок 2 2" xfId="214"/>
    <cellStyle name="Заголовок 2 3" xfId="215"/>
    <cellStyle name="Заголовок 3 2" xfId="216"/>
    <cellStyle name="Заголовок 3 3" xfId="217"/>
    <cellStyle name="Заголовок 4 2" xfId="218"/>
    <cellStyle name="Заголовок 4 3" xfId="219"/>
    <cellStyle name="Звичайний 2" xfId="353"/>
    <cellStyle name="Итог 2" xfId="220"/>
    <cellStyle name="Итог 3" xfId="221"/>
    <cellStyle name="Контрольная ячейка 2" xfId="222"/>
    <cellStyle name="Контрольная ячейка 3" xfId="223"/>
    <cellStyle name="Название 2" xfId="224"/>
    <cellStyle name="Название 3" xfId="225"/>
    <cellStyle name="Нейтральный 2" xfId="226"/>
    <cellStyle name="Нейтральный 3" xfId="227"/>
    <cellStyle name="Обычный" xfId="0" builtinId="0"/>
    <cellStyle name="Обычный 10" xfId="228"/>
    <cellStyle name="Обычный 11" xfId="229"/>
    <cellStyle name="Обычный 12" xfId="230"/>
    <cellStyle name="Обычный 13" xfId="231"/>
    <cellStyle name="Обычный 14" xfId="232"/>
    <cellStyle name="Обычный 15" xfId="233"/>
    <cellStyle name="Обычный 16" xfId="234"/>
    <cellStyle name="Обычный 17" xfId="235"/>
    <cellStyle name="Обычный 18" xfId="236"/>
    <cellStyle name="Обычный 19" xfId="354"/>
    <cellStyle name="Обычный 2" xfId="237"/>
    <cellStyle name="Обычный 2 10" xfId="238"/>
    <cellStyle name="Обычный 2 11" xfId="239"/>
    <cellStyle name="Обычный 2 12" xfId="240"/>
    <cellStyle name="Обычный 2 13" xfId="241"/>
    <cellStyle name="Обычный 2 14" xfId="242"/>
    <cellStyle name="Обычный 2 15" xfId="243"/>
    <cellStyle name="Обычный 2 16" xfId="244"/>
    <cellStyle name="Обычный 2 2" xfId="245"/>
    <cellStyle name="Обычный 2 2 2" xfId="246"/>
    <cellStyle name="Обычный 2 2 3" xfId="247"/>
    <cellStyle name="Обычный 2 2_Расшифровка прочих" xfId="248"/>
    <cellStyle name="Обычный 2 3" xfId="249"/>
    <cellStyle name="Обычный 2 4" xfId="250"/>
    <cellStyle name="Обычный 2 5" xfId="251"/>
    <cellStyle name="Обычный 2 6" xfId="252"/>
    <cellStyle name="Обычный 2 7" xfId="253"/>
    <cellStyle name="Обычный 2 8" xfId="254"/>
    <cellStyle name="Обычный 2 9" xfId="255"/>
    <cellStyle name="Обычный 2_2604-2010" xfId="256"/>
    <cellStyle name="Обычный 3" xfId="257"/>
    <cellStyle name="Обычный 3 10" xfId="258"/>
    <cellStyle name="Обычный 3 11" xfId="259"/>
    <cellStyle name="Обычный 3 12" xfId="260"/>
    <cellStyle name="Обычный 3 13" xfId="261"/>
    <cellStyle name="Обычный 3 14" xfId="262"/>
    <cellStyle name="Обычный 3 2" xfId="263"/>
    <cellStyle name="Обычный 3 3" xfId="264"/>
    <cellStyle name="Обычный 3 4" xfId="265"/>
    <cellStyle name="Обычный 3 5" xfId="266"/>
    <cellStyle name="Обычный 3 6" xfId="267"/>
    <cellStyle name="Обычный 3 7" xfId="268"/>
    <cellStyle name="Обычный 3 8" xfId="269"/>
    <cellStyle name="Обычный 3 9" xfId="270"/>
    <cellStyle name="Обычный 3_Дефицит_7 млрд_0608_бс" xfId="271"/>
    <cellStyle name="Обычный 4" xfId="272"/>
    <cellStyle name="Обычный 5" xfId="273"/>
    <cellStyle name="Обычный 5 2" xfId="274"/>
    <cellStyle name="Обычный 6" xfId="275"/>
    <cellStyle name="Обычный 6 2" xfId="276"/>
    <cellStyle name="Обычный 6 3" xfId="277"/>
    <cellStyle name="Обычный 6 4" xfId="278"/>
    <cellStyle name="Обычный 6_Дефицит_7 млрд_0608_бс" xfId="279"/>
    <cellStyle name="Обычный 7" xfId="280"/>
    <cellStyle name="Обычный 7 2" xfId="281"/>
    <cellStyle name="Обычный 8" xfId="282"/>
    <cellStyle name="Обычный 9" xfId="283"/>
    <cellStyle name="Обычный 9 2" xfId="284"/>
    <cellStyle name="Плохой 2" xfId="285"/>
    <cellStyle name="Плохой 3" xfId="286"/>
    <cellStyle name="Пояснение 2" xfId="287"/>
    <cellStyle name="Пояснение 3" xfId="288"/>
    <cellStyle name="Примечание 2" xfId="289"/>
    <cellStyle name="Примечание 3" xfId="290"/>
    <cellStyle name="Процентный 2" xfId="291"/>
    <cellStyle name="Процентный 2 10" xfId="292"/>
    <cellStyle name="Процентный 2 11" xfId="293"/>
    <cellStyle name="Процентный 2 12" xfId="294"/>
    <cellStyle name="Процентный 2 13" xfId="295"/>
    <cellStyle name="Процентный 2 14" xfId="296"/>
    <cellStyle name="Процентный 2 15" xfId="297"/>
    <cellStyle name="Процентный 2 16" xfId="298"/>
    <cellStyle name="Процентный 2 2" xfId="299"/>
    <cellStyle name="Процентный 2 3" xfId="300"/>
    <cellStyle name="Процентный 2 4" xfId="301"/>
    <cellStyle name="Процентный 2 5" xfId="302"/>
    <cellStyle name="Процентный 2 6" xfId="303"/>
    <cellStyle name="Процентный 2 7" xfId="304"/>
    <cellStyle name="Процентный 2 8" xfId="305"/>
    <cellStyle name="Процентный 2 9" xfId="306"/>
    <cellStyle name="Процентный 3" xfId="307"/>
    <cellStyle name="Процентный 4" xfId="308"/>
    <cellStyle name="Процентный 4 2" xfId="309"/>
    <cellStyle name="Связанная ячейка 2" xfId="310"/>
    <cellStyle name="Связанная ячейка 3" xfId="311"/>
    <cellStyle name="Стиль 1" xfId="312"/>
    <cellStyle name="Стиль 1 2" xfId="313"/>
    <cellStyle name="Стиль 1 3" xfId="314"/>
    <cellStyle name="Стиль 1 4" xfId="315"/>
    <cellStyle name="Стиль 1 5" xfId="316"/>
    <cellStyle name="Стиль 1 6" xfId="317"/>
    <cellStyle name="Стиль 1 7" xfId="318"/>
    <cellStyle name="Текст предупреждения 2" xfId="319"/>
    <cellStyle name="Текст предупреждения 3" xfId="320"/>
    <cellStyle name="Тысячи [0]_1.62" xfId="321"/>
    <cellStyle name="Тысячи_1.62" xfId="322"/>
    <cellStyle name="Финансовый 2" xfId="323"/>
    <cellStyle name="Финансовый 2 10" xfId="324"/>
    <cellStyle name="Финансовый 2 11" xfId="325"/>
    <cellStyle name="Финансовый 2 12" xfId="326"/>
    <cellStyle name="Финансовый 2 13" xfId="327"/>
    <cellStyle name="Финансовый 2 14" xfId="328"/>
    <cellStyle name="Финансовый 2 15" xfId="329"/>
    <cellStyle name="Финансовый 2 16" xfId="330"/>
    <cellStyle name="Финансовый 2 17" xfId="331"/>
    <cellStyle name="Финансовый 2 2" xfId="332"/>
    <cellStyle name="Финансовый 2 3" xfId="333"/>
    <cellStyle name="Финансовый 2 4" xfId="334"/>
    <cellStyle name="Финансовый 2 5" xfId="335"/>
    <cellStyle name="Финансовый 2 6" xfId="336"/>
    <cellStyle name="Финансовый 2 7" xfId="337"/>
    <cellStyle name="Финансовый 2 8" xfId="338"/>
    <cellStyle name="Финансовый 2 9" xfId="339"/>
    <cellStyle name="Финансовый 3" xfId="340"/>
    <cellStyle name="Финансовый 3 2" xfId="341"/>
    <cellStyle name="Финансовый 4" xfId="342"/>
    <cellStyle name="Финансовый 4 2" xfId="343"/>
    <cellStyle name="Финансовый 4 3" xfId="344"/>
    <cellStyle name="Финансовый 5" xfId="345"/>
    <cellStyle name="Финансовый 6" xfId="346"/>
    <cellStyle name="Финансовый 7" xfId="347"/>
    <cellStyle name="Хороший 2" xfId="348"/>
    <cellStyle name="Хороший 3" xfId="349"/>
    <cellStyle name="числовой" xfId="350"/>
    <cellStyle name="Ю" xfId="351"/>
    <cellStyle name="Ю-FreeSet_10" xfId="352"/>
  </cellStyles>
  <dxfs count="0"/>
  <tableStyles count="0" defaultTableStyle="TableStyleMedium2" defaultPivotStyle="PivotStyleLight16"/>
  <colors>
    <mruColors>
      <color rgb="FF00CCFF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39" Type="http://schemas.openxmlformats.org/officeDocument/2006/relationships/externalLink" Target="externalLinks/externalLink3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6.xml"/><Relationship Id="rId34" Type="http://schemas.openxmlformats.org/officeDocument/2006/relationships/externalLink" Target="externalLinks/externalLink29.xml"/><Relationship Id="rId42" Type="http://schemas.openxmlformats.org/officeDocument/2006/relationships/styles" Target="styles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33" Type="http://schemas.openxmlformats.org/officeDocument/2006/relationships/externalLink" Target="externalLinks/externalLink28.xml"/><Relationship Id="rId38" Type="http://schemas.openxmlformats.org/officeDocument/2006/relationships/externalLink" Target="externalLinks/externalLink3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4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32" Type="http://schemas.openxmlformats.org/officeDocument/2006/relationships/externalLink" Target="externalLinks/externalLink27.xml"/><Relationship Id="rId37" Type="http://schemas.openxmlformats.org/officeDocument/2006/relationships/externalLink" Target="externalLinks/externalLink32.xml"/><Relationship Id="rId40" Type="http://schemas.openxmlformats.org/officeDocument/2006/relationships/externalLink" Target="externalLinks/externalLink3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23.xml"/><Relationship Id="rId36" Type="http://schemas.openxmlformats.org/officeDocument/2006/relationships/externalLink" Target="externalLinks/externalLink31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31" Type="http://schemas.openxmlformats.org/officeDocument/2006/relationships/externalLink" Target="externalLinks/externalLink26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30.xml"/><Relationship Id="rId43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WORK/S2/VICTOR/&#1042;&#1042;&#1055;/PI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riadna\Sum_pok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New_monitoring/Monit_xls/M_2002/M_06_02/Monthly/10_October/1Aug2001/GDP/realgdp/LENA/BGVN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_________________________Plan_ZP\!_&#1055;&#1077;&#1095;&#1072;&#1090;&#1100;\&#1052;&#1058;&#1056;%20&#1074;&#1089;&#1077;%20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OCUME~1\VOYTOV~1\LOCALS~1\Temp\Rar$DI00.867\Planning%20System%20Project\consolidation%20hq%20formatted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SUDNIKOVA\Local%20Settings\Temporary%20Internet%20Files\Content.IE5\C5MFSXEF\Subv2006\Rich%20Roz%20200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S_N_A/1July2001/GDP/realgdp/LENA/BGVN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\File1\aaaa\2007%20finplan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SINKEV~1\LOCALS~1\Temp\Rar$DI00.781\Dept\FinPlan-Economy\Planning%20System%20Project\consolidation%20hq%20formatte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OCUME~1\VOYTOV~1\LOCALS~1\Temp\Rar$DI00.867\Planning%20System%20Project\consolidation%20hq%20formatte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ept\FinPlan-Economy\Planning%20System%20Project\consolidation%20hq%20formatte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ept\FinPlan-Economy\Planning%20System%20Project\consolidation%20hq%20formatted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likhachov\Local%20Settings\Temporary%20Internet%20Files\Content.IE5\RY4RBH0P\2006_REALIZ_&#1058;&#1045;(&#1083;&#1102;&#1090;&#1080;&#1081;20%25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FinPlan-Economy\Planning%20System%20Project\consolidation%20hq%20formatte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OCUME~1\VOYTOV~1\LOCALS~1\Temp\Rar$DI00.867\Planning%20System%20Project\consolidation%20hq%20formatt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Лист 1"/>
      <sheetName val="Real_GDP_&amp;_Real_IP_(u)"/>
      <sheetName val="Real_GDP_&amp;_Real_IP_(e)"/>
      <sheetName val="Лист2"/>
      <sheetName val="ПЛАН ЗАКУПІВЕЛЬ 2018"/>
      <sheetName val="Аркуш2"/>
      <sheetName val="MPPZ"/>
      <sheetName val="адмін_(2)"/>
      <sheetName val="9m"/>
      <sheetName val="Лист3"/>
      <sheetName val="TDSheet"/>
      <sheetName val="Довідник"/>
      <sheetName val="Real_GDP_&amp;_Real_IP_(u)1"/>
      <sheetName val="Real_GDP_&amp;_Real_IP_(e)1"/>
      <sheetName val="адмін_(2)1"/>
      <sheetName val="ПЛАН_ЗАКУПІВЕЛЬ_2018"/>
      <sheetName val="список"/>
      <sheetName val="список (2)"/>
      <sheetName val="список (6)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/>
      <sheetData sheetId="11" refreshError="1"/>
      <sheetData sheetId="12" refreshError="1"/>
      <sheetData sheetId="13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  <sheetName val="зведена_таб"/>
      <sheetName val="попер_роз_(4)"/>
      <sheetName val="звед_оптим_(2)"/>
      <sheetName val="2002"/>
      <sheetName val="2001"/>
      <sheetName val="Ener "/>
      <sheetName val="МТР_Газ_України"/>
      <sheetName val="Current"/>
      <sheetName val="прим. IX. Деб. заб."/>
      <sheetName val="Test"/>
      <sheetName val="statiy"/>
      <sheetName val="pidr"/>
      <sheetName val="Technic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 refreshError="1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7  інші витрати"/>
      <sheetName val="попер_роз"/>
      <sheetName val="база  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g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попер_роз"/>
      <sheetName val="Inform"/>
      <sheetName val="L4"/>
      <sheetName val="L10"/>
      <sheetName val="KOEF"/>
      <sheetName val="База"/>
      <sheetName val="7  Інші витрати"/>
      <sheetName val="ОСВ МСФЗ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Inform"/>
      <sheetName val="Правила ДДС"/>
      <sheetName val="_ф3"/>
      <sheetName val="_Ф4"/>
      <sheetName val="_Ф5"/>
      <sheetName val="Ф7_цены"/>
      <sheetName val="Ф8_цены"/>
      <sheetName val="7  інші витрати"/>
      <sheetName val="база  "/>
      <sheetName val="Links"/>
      <sheetName val="Lead"/>
      <sheetName val="МТР_Газ_України"/>
      <sheetName val="МТР_все_2"/>
      <sheetName val="P_SC"/>
      <sheetName val="XLR_NoRangeSheet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база  "/>
      <sheetName val="Лист1"/>
      <sheetName val="МТР все - 5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1993"/>
      <sheetName val="cj"/>
      <sheetName val="7  інші витрат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Inform"/>
      <sheetName val="база  "/>
      <sheetName val="МТР_Газ_України"/>
      <sheetName val="Допущения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попер_роз"/>
      <sheetName val="Лист1"/>
      <sheetName val="МТР все 2"/>
      <sheetName val="Inform"/>
      <sheetName val="7  Інші витрати"/>
      <sheetName val="МТР_Газ_України"/>
      <sheetName val="Assumptions and Input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GDP"/>
      <sheetName val="BGVN1"/>
      <sheetName val="Technical"/>
      <sheetName val="БАЗА  "/>
      <sheetName val="МТР Газ України"/>
      <sheetName val="Daten"/>
      <sheetName val="Detail"/>
      <sheetName val="Annual Tables"/>
      <sheetName val="Index"/>
      <sheetName val="Annual Raw Data"/>
      <sheetName val="Quarterly Raw Data"/>
      <sheetName val="Quarterly MacroFlow"/>
      <sheetName val="unadjbs"/>
      <sheetName val="Inventories"/>
      <sheetName val="Inform"/>
      <sheetName val="Довідник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Maintenance"/>
      <sheetName val="Лист1"/>
      <sheetName val="МТР все 2"/>
      <sheetName val="2002"/>
      <sheetName val="20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Ini"/>
      <sheetName val="Setup"/>
      <sheetName val="200"/>
      <sheetName val="1993"/>
      <sheetName val="Inform"/>
      <sheetName val="Ener 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МТР все - 5"/>
      <sheetName val="Лист1"/>
      <sheetName val="Internal Data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/>
      <sheetData sheetId="34"/>
      <sheetData sheetId="35" refreshError="1"/>
      <sheetData sheetId="3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Inform"/>
      <sheetName val="база  "/>
      <sheetName val="gdp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7  інші витрати"/>
      <sheetName val="МТР Газ України"/>
      <sheetName val="база  "/>
      <sheetName val="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попер_роз"/>
      <sheetName val="Inform"/>
      <sheetName val="база  "/>
      <sheetName val="МТР_Газ_України"/>
      <sheetName val="assumptions and inputs"/>
      <sheetName val="Cash Flows"/>
      <sheetName val="Terminal Value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МТР Газ України"/>
      <sheetName val="7  інші витрати"/>
      <sheetName val="Inform"/>
      <sheetName val="попер_роз"/>
      <sheetName val="Dod_ARK"/>
      <sheetName val="Dod_Clavutich"/>
      <sheetName val="Svod_3511060"/>
      <sheetName val="Diti_"/>
      <sheetName val="Ener_"/>
      <sheetName val="IncsiPilgi_(2)"/>
      <sheetName val="Govti_Vodi"/>
      <sheetName val="Chor_Flot"/>
      <sheetName val="Shidka_Dop"/>
      <sheetName val="Zoiot_Pidkova"/>
      <sheetName val="Oper_Teatr"/>
      <sheetName val="Ctix_Lixo_IvFrank"/>
      <sheetName val="Groshi_xodat_za_dit"/>
      <sheetName val="Ctix_Lixo_Zakarp"/>
      <sheetName val="Coc_GKG_Inv"/>
      <sheetName val="Ictor_Zabudova"/>
      <sheetName val="Ict_Zab"/>
      <sheetName val="Ukr_Kultura"/>
      <sheetName val="Mic_Arcenal"/>
      <sheetName val="diti_ciroti_-2(minmolod)"/>
      <sheetName val="Korek_ocvita"/>
      <sheetName val="Tex_Dic_Ocvita"/>
      <sheetName val="Utoc_Zaoshadg"/>
      <sheetName val="Metro_Cpec_Fond"/>
      <sheetName val="Svitov_Bank"/>
      <sheetName val="Shidka_Dop_Cp_Fond"/>
      <sheetName val="Troleib_Cpec_Fond"/>
      <sheetName val="Pereviz_ditey"/>
      <sheetName val="Kom_dorigu"/>
      <sheetName val="Chor_Fiot_Cpec_Fond"/>
      <sheetName val="Nar_inst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 t="str">
            <v>Обсяг помісячного надходження субвенції з державного бюджету до місцевих бюджетів на надання пільг  та житлових субсидій населенню на оплату електроенергії, природного газу, послуг тепло-, водопостачання і водовідведення, квартирної плати, вивезення побут</v>
          </cell>
        </row>
        <row r="5">
          <cell r="A5" t="str">
            <v>Код бюджету</v>
          </cell>
          <cell r="B5" t="str">
            <v>Назва адміністративно-територіальної одиниці</v>
          </cell>
          <cell r="C5" t="str">
            <v>січень</v>
          </cell>
          <cell r="D5" t="str">
            <v>лютий</v>
          </cell>
          <cell r="E5" t="str">
            <v>березень</v>
          </cell>
          <cell r="F5" t="str">
            <v>квітень</v>
          </cell>
          <cell r="G5" t="str">
            <v>травень</v>
          </cell>
        </row>
        <row r="6">
          <cell r="A6" t="str">
            <v>О1100000000</v>
          </cell>
          <cell r="B6" t="str">
            <v>бюджет Автономної Республіки Крим</v>
          </cell>
          <cell r="C6">
            <v>2463.5419999999999</v>
          </cell>
          <cell r="D6">
            <v>5004.6750000000002</v>
          </cell>
          <cell r="E6">
            <v>4874.01</v>
          </cell>
          <cell r="F6">
            <v>6713.2</v>
          </cell>
          <cell r="G6">
            <v>5483.6</v>
          </cell>
        </row>
        <row r="7">
          <cell r="A7" t="str">
            <v>О2100000000</v>
          </cell>
          <cell r="B7" t="str">
            <v>обласний бюджет Вiнницької області</v>
          </cell>
          <cell r="C7">
            <v>5585.9549999999999</v>
          </cell>
          <cell r="D7">
            <v>5130.4480000000003</v>
          </cell>
          <cell r="E7">
            <v>5614.5339999999997</v>
          </cell>
          <cell r="F7">
            <v>7821.4</v>
          </cell>
          <cell r="G7">
            <v>4676.6000000000004</v>
          </cell>
        </row>
        <row r="8">
          <cell r="A8" t="str">
            <v>О3100000000</v>
          </cell>
          <cell r="B8" t="str">
            <v>обласний бюджет Волинської області</v>
          </cell>
          <cell r="C8">
            <v>3419.413</v>
          </cell>
          <cell r="D8">
            <v>4547.1629999999996</v>
          </cell>
          <cell r="E8">
            <v>4267.8410000000003</v>
          </cell>
          <cell r="F8">
            <v>5180.2</v>
          </cell>
          <cell r="G8">
            <v>3258.4</v>
          </cell>
        </row>
        <row r="9">
          <cell r="A9" t="str">
            <v>О4100000000</v>
          </cell>
          <cell r="B9" t="str">
            <v>обласний бюджет Днiпропетровської області</v>
          </cell>
          <cell r="C9">
            <v>8288.7270000000008</v>
          </cell>
          <cell r="D9">
            <v>20991.351999999999</v>
          </cell>
          <cell r="E9">
            <v>16903.654999999999</v>
          </cell>
          <cell r="F9">
            <v>23535.787</v>
          </cell>
          <cell r="G9">
            <v>12935.2</v>
          </cell>
        </row>
        <row r="10">
          <cell r="A10" t="str">
            <v>О5100000000</v>
          </cell>
          <cell r="B10" t="str">
            <v>обласний бюджет Донецької області</v>
          </cell>
          <cell r="C10">
            <v>11729.522000000001</v>
          </cell>
          <cell r="D10">
            <v>19530.755000000001</v>
          </cell>
          <cell r="E10">
            <v>19355.436000000002</v>
          </cell>
          <cell r="F10">
            <v>26008.7</v>
          </cell>
          <cell r="G10">
            <v>15778.6</v>
          </cell>
        </row>
        <row r="11">
          <cell r="A11" t="str">
            <v>О6100000000</v>
          </cell>
          <cell r="B11" t="str">
            <v>обласний бюджет Житомирської області</v>
          </cell>
          <cell r="C11">
            <v>3202.2750000000001</v>
          </cell>
          <cell r="D11">
            <v>6561.0010000000002</v>
          </cell>
          <cell r="E11">
            <v>5316.2150000000001</v>
          </cell>
          <cell r="F11">
            <v>7407.8</v>
          </cell>
          <cell r="G11">
            <v>4605.7</v>
          </cell>
        </row>
        <row r="12">
          <cell r="A12" t="str">
            <v>О7100000000</v>
          </cell>
          <cell r="B12" t="str">
            <v>обласний бюджет Закарпатської області</v>
          </cell>
          <cell r="C12">
            <v>1513.9649999999999</v>
          </cell>
          <cell r="D12">
            <v>1806.577</v>
          </cell>
          <cell r="E12">
            <v>4712.2439999999997</v>
          </cell>
          <cell r="F12">
            <v>4277.8</v>
          </cell>
          <cell r="G12">
            <v>1586.9</v>
          </cell>
        </row>
        <row r="13">
          <cell r="A13" t="str">
            <v>О8100000000</v>
          </cell>
          <cell r="B13" t="str">
            <v>обласний бюджет Запорiзької області</v>
          </cell>
          <cell r="C13">
            <v>3867.2069999999999</v>
          </cell>
          <cell r="D13">
            <v>7903.7089999999998</v>
          </cell>
          <cell r="E13">
            <v>7399.4160000000002</v>
          </cell>
          <cell r="F13">
            <v>9874.5</v>
          </cell>
          <cell r="G13">
            <v>7155.4</v>
          </cell>
        </row>
        <row r="14">
          <cell r="A14" t="str">
            <v>О9100000000</v>
          </cell>
          <cell r="B14" t="str">
            <v>обласний бюджет Iвано-Франкiвської області</v>
          </cell>
          <cell r="C14">
            <v>3578.223</v>
          </cell>
          <cell r="D14">
            <v>5867.2309999999998</v>
          </cell>
          <cell r="E14">
            <v>6297.893</v>
          </cell>
          <cell r="F14">
            <v>9563.7000000000007</v>
          </cell>
          <cell r="G14">
            <v>3616.2</v>
          </cell>
        </row>
        <row r="15">
          <cell r="A15">
            <v>10100000000</v>
          </cell>
          <cell r="B15" t="str">
            <v>обласний бюджет Київської області</v>
          </cell>
          <cell r="C15">
            <v>10302.385</v>
          </cell>
          <cell r="D15">
            <v>16146.352999999999</v>
          </cell>
          <cell r="E15">
            <v>13833.255999999999</v>
          </cell>
          <cell r="F15">
            <v>18290.400000000001</v>
          </cell>
          <cell r="G15">
            <v>7404.9</v>
          </cell>
        </row>
        <row r="16">
          <cell r="A16">
            <v>11100000000</v>
          </cell>
          <cell r="B16" t="str">
            <v>обласний бюджет Кiровоградської області</v>
          </cell>
          <cell r="C16">
            <v>3580.96</v>
          </cell>
          <cell r="D16">
            <v>4993.7330000000002</v>
          </cell>
          <cell r="E16">
            <v>3976.05</v>
          </cell>
          <cell r="F16">
            <v>7419.8</v>
          </cell>
          <cell r="G16">
            <v>5284.3</v>
          </cell>
        </row>
        <row r="17">
          <cell r="A17">
            <v>12100000000</v>
          </cell>
          <cell r="B17" t="str">
            <v>обласний бюджет Луганської області</v>
          </cell>
          <cell r="C17">
            <v>2843.239</v>
          </cell>
          <cell r="D17">
            <v>8978.6</v>
          </cell>
          <cell r="E17">
            <v>6927.87</v>
          </cell>
          <cell r="F17">
            <v>9087.1</v>
          </cell>
          <cell r="G17">
            <v>6148.4</v>
          </cell>
        </row>
        <row r="18">
          <cell r="A18">
            <v>13100000000</v>
          </cell>
          <cell r="B18" t="str">
            <v>обласний бюджет Львiвської області</v>
          </cell>
          <cell r="C18">
            <v>13665.8</v>
          </cell>
          <cell r="D18">
            <v>12546.388000000001</v>
          </cell>
          <cell r="E18">
            <v>13924.588</v>
          </cell>
          <cell r="F18">
            <v>16320</v>
          </cell>
          <cell r="G18">
            <v>5542.7</v>
          </cell>
        </row>
        <row r="19">
          <cell r="A19">
            <v>14100000000</v>
          </cell>
          <cell r="B19" t="str">
            <v>обласний бюджет Миколаївської області</v>
          </cell>
          <cell r="C19">
            <v>1582.5519999999999</v>
          </cell>
          <cell r="D19">
            <v>4228.6229999999996</v>
          </cell>
          <cell r="E19">
            <v>4112.8190000000004</v>
          </cell>
          <cell r="F19">
            <v>5079.6000000000004</v>
          </cell>
          <cell r="G19">
            <v>4261.3</v>
          </cell>
        </row>
        <row r="20">
          <cell r="A20">
            <v>15100000000</v>
          </cell>
          <cell r="B20" t="str">
            <v>обласний бюджет Одеської області</v>
          </cell>
          <cell r="C20">
            <v>3570.1010000000001</v>
          </cell>
          <cell r="D20">
            <v>8569.5969999999998</v>
          </cell>
          <cell r="E20">
            <v>7127.8249999999998</v>
          </cell>
          <cell r="F20">
            <v>11636.5</v>
          </cell>
          <cell r="G20">
            <v>10163.4</v>
          </cell>
        </row>
        <row r="21">
          <cell r="A21">
            <v>16100000000</v>
          </cell>
          <cell r="B21" t="str">
            <v>обласний бюджет Полтавської області</v>
          </cell>
          <cell r="C21">
            <v>5666.1139999999996</v>
          </cell>
          <cell r="D21">
            <v>6422.4319999999998</v>
          </cell>
          <cell r="E21">
            <v>7489.7539999999999</v>
          </cell>
          <cell r="F21">
            <v>15258.1</v>
          </cell>
          <cell r="G21">
            <v>5827</v>
          </cell>
        </row>
        <row r="22">
          <cell r="A22">
            <v>17100000000</v>
          </cell>
          <cell r="B22" t="str">
            <v>обласний бюджет Рiвненської області</v>
          </cell>
          <cell r="C22">
            <v>1969.902</v>
          </cell>
          <cell r="D22">
            <v>3336.444</v>
          </cell>
          <cell r="E22">
            <v>5380.4470000000001</v>
          </cell>
          <cell r="F22">
            <v>5543.9</v>
          </cell>
          <cell r="G22">
            <v>2982.7</v>
          </cell>
        </row>
        <row r="23">
          <cell r="A23">
            <v>18100000000</v>
          </cell>
          <cell r="B23" t="str">
            <v>обласний бюджет Сумської області</v>
          </cell>
          <cell r="C23">
            <v>4169.5280000000002</v>
          </cell>
          <cell r="D23">
            <v>3622.9929999999999</v>
          </cell>
          <cell r="E23">
            <v>7895.424</v>
          </cell>
          <cell r="F23">
            <v>8377.1</v>
          </cell>
          <cell r="G23">
            <v>4032.7</v>
          </cell>
        </row>
        <row r="24">
          <cell r="A24">
            <v>19100000000</v>
          </cell>
          <cell r="B24" t="str">
            <v>обласний бюджет Тернопiльської області</v>
          </cell>
          <cell r="C24">
            <v>3701.9160000000002</v>
          </cell>
          <cell r="D24">
            <v>4896.8559999999998</v>
          </cell>
          <cell r="E24">
            <v>5147.2650000000003</v>
          </cell>
          <cell r="F24">
            <v>6839.9</v>
          </cell>
          <cell r="G24">
            <v>1830.2</v>
          </cell>
        </row>
        <row r="25">
          <cell r="A25">
            <v>20100000000</v>
          </cell>
          <cell r="B25" t="str">
            <v>обласний бюджет Харкiвської області</v>
          </cell>
          <cell r="C25">
            <v>8386.9330000000009</v>
          </cell>
          <cell r="D25">
            <v>11698.075000000001</v>
          </cell>
          <cell r="E25">
            <v>14592.047</v>
          </cell>
          <cell r="F25">
            <v>27208.2</v>
          </cell>
          <cell r="G25">
            <v>13691.3</v>
          </cell>
        </row>
        <row r="26">
          <cell r="A26">
            <v>21100000000</v>
          </cell>
          <cell r="B26" t="str">
            <v>обласний бюджет Херсонської області</v>
          </cell>
          <cell r="C26">
            <v>2200.9679999999998</v>
          </cell>
          <cell r="D26">
            <v>3252.5390000000002</v>
          </cell>
          <cell r="E26">
            <v>3255.58</v>
          </cell>
          <cell r="F26">
            <v>5299.7</v>
          </cell>
          <cell r="G26">
            <v>3272.2</v>
          </cell>
        </row>
        <row r="27">
          <cell r="A27">
            <v>22100000000</v>
          </cell>
          <cell r="B27" t="str">
            <v>обласний бюджет Хмельницької області</v>
          </cell>
          <cell r="C27">
            <v>4049.5320000000002</v>
          </cell>
          <cell r="D27">
            <v>6627.4</v>
          </cell>
          <cell r="E27">
            <v>4533.01</v>
          </cell>
          <cell r="F27">
            <v>8290.9</v>
          </cell>
          <cell r="G27">
            <v>5960.3</v>
          </cell>
        </row>
        <row r="28">
          <cell r="A28">
            <v>23100000000</v>
          </cell>
          <cell r="B28" t="str">
            <v>обласний бюджет Черкаської області</v>
          </cell>
          <cell r="C28">
            <v>5316.2910000000002</v>
          </cell>
          <cell r="D28">
            <v>6217.3370000000004</v>
          </cell>
          <cell r="E28">
            <v>6195.89</v>
          </cell>
          <cell r="F28">
            <v>10165</v>
          </cell>
          <cell r="G28">
            <v>4770.5</v>
          </cell>
        </row>
        <row r="29">
          <cell r="A29">
            <v>24100000000</v>
          </cell>
          <cell r="B29" t="str">
            <v>обласний бюджет Чернiвецької області</v>
          </cell>
          <cell r="C29">
            <v>1761.75</v>
          </cell>
          <cell r="D29">
            <v>2010.7829999999999</v>
          </cell>
          <cell r="E29">
            <v>1999.8030000000001</v>
          </cell>
          <cell r="F29">
            <v>3410.4</v>
          </cell>
          <cell r="G29">
            <v>2092.5</v>
          </cell>
        </row>
        <row r="30">
          <cell r="A30">
            <v>25100000000</v>
          </cell>
          <cell r="B30" t="str">
            <v>обласний бюджет Чернiгiвецької області</v>
          </cell>
          <cell r="C30">
            <v>4501.0339999999997</v>
          </cell>
          <cell r="D30">
            <v>5828.5460000000003</v>
          </cell>
          <cell r="E30">
            <v>5312.768</v>
          </cell>
          <cell r="F30">
            <v>8541</v>
          </cell>
          <cell r="G30">
            <v>4831.6000000000004</v>
          </cell>
        </row>
        <row r="31">
          <cell r="A31">
            <v>26000000000</v>
          </cell>
          <cell r="B31" t="str">
            <v>м.Київ</v>
          </cell>
          <cell r="C31">
            <v>4478.4290000000001</v>
          </cell>
          <cell r="D31">
            <v>7686.2479999999996</v>
          </cell>
          <cell r="E31">
            <v>8581.6080000000002</v>
          </cell>
          <cell r="F31">
            <v>12592.5</v>
          </cell>
          <cell r="G31">
            <v>10211.1</v>
          </cell>
        </row>
        <row r="32">
          <cell r="A32">
            <v>27000000000</v>
          </cell>
          <cell r="B32" t="str">
            <v>м.Севастополь</v>
          </cell>
          <cell r="C32">
            <v>656.43700000000001</v>
          </cell>
          <cell r="D32">
            <v>1870.8869999999999</v>
          </cell>
          <cell r="E32">
            <v>1073.652</v>
          </cell>
          <cell r="F32">
            <v>1527.6130000000001</v>
          </cell>
          <cell r="G32">
            <v>1254.8</v>
          </cell>
        </row>
        <row r="33">
          <cell r="B33" t="str">
            <v xml:space="preserve">Всього </v>
          </cell>
          <cell r="C33">
            <v>126052.70000000001</v>
          </cell>
          <cell r="D33">
            <v>196276.74499999997</v>
          </cell>
          <cell r="E33">
            <v>196100.90000000005</v>
          </cell>
          <cell r="F33">
            <v>281270.80000000005</v>
          </cell>
          <cell r="G33">
            <v>158658.49999999997</v>
          </cell>
        </row>
        <row r="38">
          <cell r="C38">
            <v>126052.7</v>
          </cell>
          <cell r="D38">
            <v>196276.74499999997</v>
          </cell>
          <cell r="E38">
            <v>196100.9</v>
          </cell>
          <cell r="F38">
            <v>281270.8</v>
          </cell>
          <cell r="G38">
            <v>158658.5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Ener "/>
      <sheetName val="Лист1"/>
      <sheetName val="ТРП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Inform"/>
      <sheetName val="812"/>
      <sheetName val="Ф2"/>
      <sheetName val="gdp"/>
      <sheetName val="1993"/>
      <sheetName val="Додаток 3"/>
      <sheetName val="Ener_"/>
      <sheetName val="Бюдж. баланс "/>
      <sheetName val="параметри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 refreshError="1"/>
      <sheetData sheetId="27" refreshError="1"/>
      <sheetData sheetId="28"/>
      <sheetData sheetId="29"/>
      <sheetData sheetId="3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  <sheetName val="БАЗА__"/>
      <sheetName val="БАЗА___(2)"/>
      <sheetName val="БАЗА___(3)"/>
      <sheetName val="БАЗА___(5)"/>
      <sheetName val="БАЗА___(4)"/>
      <sheetName val="Ener "/>
      <sheetName val="Припущення"/>
      <sheetName val="МТР_Газ_України"/>
      <sheetName val="Осн. фін. пок. 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  <sheetData sheetId="22" refreshError="1"/>
      <sheetData sheetId="23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МТР Газ України"/>
      <sheetName val="Inform"/>
      <sheetName val="7  інші витрати"/>
      <sheetName val="БАЗА  "/>
      <sheetName val="BGVN1"/>
      <sheetName val="д17-1"/>
      <sheetName val="БАЗА__"/>
      <sheetName val="Лист1"/>
      <sheetName val="півріч"/>
      <sheetName val="КурсВалют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Правила ДДС"/>
      <sheetName val="7  інші витрати"/>
      <sheetName val="п"/>
      <sheetName val="1993"/>
      <sheetName val="Assumptions and Inputs"/>
      <sheetName val="Лист1"/>
      <sheetName val="consolidation hq formatted"/>
    </sheetNames>
    <sheetDataSet>
      <sheetData sheetId="0" refreshError="1"/>
      <sheetData sheetId="1" refreshError="1">
        <row r="2">
          <cell r="F2" t="str">
            <v>Компания "Мама"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gdp"/>
      <sheetName val="1993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Setup"/>
      <sheetName val="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Ener "/>
      <sheetName val="f-20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1"/>
      <sheetName val="consolidation hq formatted"/>
      <sheetName val="7  Інші витрати"/>
      <sheetName val="попер_роз"/>
      <sheetName val="скрыть"/>
    </sheetNames>
    <sheetDataSet>
      <sheetData sheetId="0" refreshError="1"/>
      <sheetData sheetId="1" refreshError="1">
        <row r="6">
          <cell r="E6" t="str">
            <v>31 декабря 2005 года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Ener "/>
      <sheetName val="Технич лист"/>
      <sheetName val="gdp"/>
      <sheetName val="до викупа"/>
      <sheetName val="Лист1"/>
      <sheetName val="банк"/>
      <sheetName val="дез"/>
      <sheetName val="связь"/>
      <sheetName val="компод"/>
      <sheetName val="пож"/>
      <sheetName val="проезд"/>
      <sheetName val="страх"/>
      <sheetName val="Розш. ел. витрат за 9 місяців"/>
      <sheetName val="Рокада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МТР Газ України"/>
      <sheetName val="реестр заявок"/>
      <sheetName val="ЗКЛ"/>
      <sheetName val="реестр_заявок"/>
      <sheetName val="Лист1"/>
      <sheetName val="Рабоч"/>
      <sheetName val="7  Інші витрати"/>
      <sheetName val="1993"/>
      <sheetName val="Ener "/>
      <sheetName val="додаток 1"/>
      <sheetName val="база  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база  "/>
      <sheetName val="банк"/>
      <sheetName val="дез"/>
      <sheetName val="связь"/>
      <sheetName val="компод"/>
      <sheetName val="пож"/>
      <sheetName val="проезд"/>
      <sheetName val="страх"/>
      <sheetName val="7  інші витрати"/>
      <sheetName val="МТР Газ України"/>
      <sheetName val="Note2 to do "/>
      <sheetName val="4сд"/>
      <sheetName val="2сд"/>
      <sheetName val="7сд"/>
      <sheetName val="1993"/>
      <sheetName val="Лист2"/>
      <sheetName val="припущення"/>
      <sheetName val="т17мб(шаблон)"/>
      <sheetName val="реестр_заявок1"/>
      <sheetName val="Set"/>
      <sheetName val="додаток  3"/>
      <sheetName val="mt bk"/>
      <sheetName val="Ener "/>
      <sheetName val="рэс п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  <sheetName val="БАЗА__"/>
      <sheetName val="БАЗА___(2)"/>
      <sheetName val="БАЗА___(3)"/>
      <sheetName val="БАЗА___(4)"/>
      <sheetName val="БАЗА___(5)"/>
      <sheetName val="БАЗА___(6)"/>
      <sheetName val="БАЗА___(7)"/>
      <sheetName val="БАЗА___(8)"/>
      <sheetName val="БАЗА___(9)"/>
      <sheetName val="БАЗА___(10)"/>
      <sheetName val="БАЗА___(12)"/>
      <sheetName val="БАЗА___(11)"/>
      <sheetName val="БАЗА___(13)"/>
      <sheetName val="БАЗА___(14)"/>
      <sheetName val="параметри"/>
      <sheetName val="Припущенн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gdp"/>
      <sheetName val="Inform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993"/>
      <sheetName val="7  інші витрати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БАЗА  "/>
      <sheetName val="до викупа"/>
      <sheetName val="Note2 to do "/>
      <sheetName val="4сд"/>
      <sheetName val="2сд"/>
      <sheetName val="7сд"/>
      <sheetName val="Лист2"/>
      <sheetName val="припущення"/>
      <sheetName val="МТР_Газ_України"/>
      <sheetName val="gdp"/>
      <sheetName val="Setup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 refreshError="1"/>
      <sheetData sheetId="4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2"/>
      <sheetName val="1993"/>
      <sheetName val="7  інші витрати"/>
      <sheetName val="Ener "/>
      <sheetName val="gdp"/>
      <sheetName val="assumptions"/>
    </sheetNames>
    <sheetDataSet>
      <sheetData sheetId="0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МТР Газ України"/>
      <sheetName val="рік"/>
      <sheetName val="1993"/>
      <sheetName val="7  інші витрати"/>
      <sheetName val="gdp"/>
      <sheetName val="Assumptions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 refreshError="1"/>
      <sheetData sheetId="32" refreshError="1"/>
      <sheetData sheetId="3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gdp"/>
      <sheetName val="7  інші витрати"/>
      <sheetName val="1993"/>
      <sheetName val="comp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1993"/>
      <sheetName val="7  інші витрати"/>
      <sheetName val="Current"/>
      <sheetName val="Лист1"/>
      <sheetName val="МТР все 2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TB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Ener "/>
      <sheetName val="МТР_Газ_України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1_Структура по елементах"/>
      <sheetName val="Тит стор"/>
      <sheetName val="Sheet1"/>
      <sheetName val="Cons_FS"/>
      <sheetName val="General"/>
      <sheetName val="SC_Lists"/>
      <sheetName val="Scenarios"/>
      <sheetName val="Gas_SSO"/>
      <sheetName val="Gas_TSO"/>
      <sheetName val="UGV_Gas"/>
      <sheetName val="Strategic Options"/>
      <sheetName val="Мульт-ор М2, швидкість"/>
      <sheetName val="Тариф на транзит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dzo.com.ua/tenders/20078403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R251"/>
  <sheetViews>
    <sheetView tabSelected="1" view="pageBreakPreview" zoomScale="60" zoomScaleNormal="75" workbookViewId="0">
      <selection activeCell="N9" sqref="N9"/>
    </sheetView>
  </sheetViews>
  <sheetFormatPr defaultRowHeight="20.25"/>
  <cols>
    <col min="1" max="1" width="65.42578125" style="105" customWidth="1"/>
    <col min="2" max="2" width="17.28515625" style="175" customWidth="1"/>
    <col min="3" max="4" width="18" style="175" customWidth="1"/>
    <col min="5" max="5" width="18.7109375" style="105" customWidth="1"/>
    <col min="6" max="6" width="19" style="105" customWidth="1"/>
    <col min="7" max="7" width="18.7109375" style="105" customWidth="1"/>
    <col min="8" max="8" width="19.7109375" style="105" customWidth="1"/>
    <col min="9" max="9" width="22.85546875" style="105" customWidth="1"/>
    <col min="10" max="10" width="18.85546875" style="105" customWidth="1"/>
    <col min="11" max="11" width="17.42578125" style="105" customWidth="1"/>
    <col min="12" max="12" width="13.85546875" style="105" customWidth="1"/>
    <col min="13" max="13" width="17" style="105" customWidth="1"/>
    <col min="14" max="16" width="9.140625" style="105"/>
    <col min="17" max="17" width="11.42578125" style="105" bestFit="1" customWidth="1"/>
    <col min="18" max="18" width="18.5703125" style="105" customWidth="1"/>
    <col min="19" max="16384" width="9.140625" style="105"/>
  </cols>
  <sheetData>
    <row r="1" spans="1:10" ht="110.25" customHeight="1">
      <c r="A1" s="215" t="s">
        <v>509</v>
      </c>
      <c r="B1" s="214"/>
      <c r="C1" s="214"/>
      <c r="D1" s="214"/>
      <c r="E1" s="214"/>
      <c r="F1" s="214"/>
      <c r="G1" s="214"/>
      <c r="H1" s="214"/>
    </row>
    <row r="2" spans="1:10" ht="30" customHeight="1">
      <c r="A2" s="214" t="s">
        <v>18</v>
      </c>
      <c r="B2" s="214"/>
      <c r="C2" s="214"/>
      <c r="D2" s="214"/>
      <c r="E2" s="214"/>
      <c r="F2" s="214"/>
      <c r="G2" s="214"/>
      <c r="H2" s="214"/>
    </row>
    <row r="3" spans="1:10" ht="23.25" customHeight="1">
      <c r="B3" s="176"/>
      <c r="C3" s="180"/>
      <c r="D3" s="176"/>
      <c r="E3" s="176"/>
      <c r="F3" s="176"/>
      <c r="G3" s="176"/>
      <c r="H3" s="113" t="s">
        <v>57</v>
      </c>
    </row>
    <row r="4" spans="1:10" ht="75.75" customHeight="1">
      <c r="A4" s="216" t="s">
        <v>23</v>
      </c>
      <c r="B4" s="217" t="s">
        <v>5</v>
      </c>
      <c r="C4" s="217" t="s">
        <v>121</v>
      </c>
      <c r="D4" s="217"/>
      <c r="E4" s="216" t="s">
        <v>390</v>
      </c>
      <c r="F4" s="216"/>
      <c r="G4" s="216"/>
      <c r="H4" s="216"/>
    </row>
    <row r="5" spans="1:10" ht="47.25" customHeight="1">
      <c r="A5" s="216"/>
      <c r="B5" s="217"/>
      <c r="C5" s="174" t="s">
        <v>388</v>
      </c>
      <c r="D5" s="174" t="s">
        <v>389</v>
      </c>
      <c r="E5" s="114" t="s">
        <v>107</v>
      </c>
      <c r="F5" s="114" t="s">
        <v>108</v>
      </c>
      <c r="G5" s="114" t="s">
        <v>109</v>
      </c>
      <c r="H5" s="114" t="s">
        <v>110</v>
      </c>
    </row>
    <row r="6" spans="1:10" ht="29.25" customHeight="1">
      <c r="A6" s="173">
        <v>1</v>
      </c>
      <c r="B6" s="174">
        <v>2</v>
      </c>
      <c r="C6" s="174">
        <v>3</v>
      </c>
      <c r="D6" s="174">
        <v>5</v>
      </c>
      <c r="E6" s="174">
        <v>7</v>
      </c>
      <c r="F6" s="174">
        <v>8</v>
      </c>
      <c r="G6" s="174">
        <v>9</v>
      </c>
      <c r="H6" s="174">
        <v>10</v>
      </c>
    </row>
    <row r="7" spans="1:10" ht="33" customHeight="1">
      <c r="A7" s="218" t="s">
        <v>98</v>
      </c>
      <c r="B7" s="218"/>
      <c r="C7" s="218"/>
      <c r="D7" s="218"/>
      <c r="E7" s="218"/>
      <c r="F7" s="218"/>
      <c r="G7" s="218"/>
      <c r="H7" s="218"/>
    </row>
    <row r="8" spans="1:10" ht="48.75" customHeight="1">
      <c r="A8" s="115" t="s">
        <v>122</v>
      </c>
      <c r="B8" s="116">
        <v>1000</v>
      </c>
      <c r="C8" s="93">
        <f>'Розшифровка 1 до Формування'!D7</f>
        <v>77984.100000000006</v>
      </c>
      <c r="D8" s="93">
        <f>F8</f>
        <v>79702</v>
      </c>
      <c r="E8" s="93">
        <f>'Розшифровка 1 до Формування'!E7</f>
        <v>81403.199999999997</v>
      </c>
      <c r="F8" s="93">
        <f>'Розшифровка 1 до Формування'!F7</f>
        <v>79702</v>
      </c>
      <c r="G8" s="93">
        <f>F8-E8</f>
        <v>-1701.1999999999971</v>
      </c>
      <c r="H8" s="93">
        <f>(F8/E8)*100</f>
        <v>97.910155866108468</v>
      </c>
      <c r="J8" s="117"/>
    </row>
    <row r="9" spans="1:10" ht="47.25" customHeight="1">
      <c r="A9" s="115" t="s">
        <v>67</v>
      </c>
      <c r="B9" s="116">
        <v>1010</v>
      </c>
      <c r="C9" s="93">
        <f>SUM(C10:C14)</f>
        <v>-79847.3</v>
      </c>
      <c r="D9" s="93">
        <f>SUM(D10:D14)</f>
        <v>-87534.2</v>
      </c>
      <c r="E9" s="93">
        <f>SUM(E10:E14)</f>
        <v>-90872.4</v>
      </c>
      <c r="F9" s="93">
        <f t="shared" ref="F9:F43" si="0">D9</f>
        <v>-87534.2</v>
      </c>
      <c r="G9" s="93">
        <f t="shared" ref="G9:G43" si="1">F9-E9</f>
        <v>3338.1999999999971</v>
      </c>
      <c r="H9" s="93">
        <f t="shared" ref="H9:H43" si="2">(F9/E9)*100</f>
        <v>96.326497374340292</v>
      </c>
      <c r="J9" s="117"/>
    </row>
    <row r="10" spans="1:10" ht="30" customHeight="1">
      <c r="A10" s="118" t="s">
        <v>68</v>
      </c>
      <c r="B10" s="173">
        <v>1011</v>
      </c>
      <c r="C10" s="119">
        <f>-('Розшифровка 2 до формування'!D10+'Розшифровка 2 до формування'!D57+'Розшифровка 2 до формування'!D105+'Розшифровка 2 до формування'!D130+'Розшифровка 2 до формування'!D149+'Розшифровка 2 до формування'!D162+'Розшифровка 2 до формування'!D197+'Розшифровка 2 до формування'!D216+'Розшифровка 2 до формування'!D221)</f>
        <v>-15595.9</v>
      </c>
      <c r="D10" s="119">
        <f>F10</f>
        <v>-17058.5</v>
      </c>
      <c r="E10" s="119">
        <f>-('Розшифровка 2 до формування'!E10+'Розшифровка 2 до формування'!E57+'Розшифровка 2 до формування'!E105+'Розшифровка 2 до формування'!E130+'Розшифровка 2 до формування'!E149+'Розшифровка 2 до формування'!E162+'Розшифровка 2 до формування'!E197+'Розшифровка 2 до формування'!E216+'Розшифровка 2 до формування'!E221)</f>
        <v>-15256.8</v>
      </c>
      <c r="F10" s="93">
        <f>-('Розшифровка 2 до формування'!F10+'Розшифровка 2 до формування'!F57+'Розшифровка 2 до формування'!F105+'Розшифровка 2 до формування'!F130+'Розшифровка 2 до формування'!F149+'Розшифровка 2 до формування'!F162+'Розшифровка 2 до формування'!F197+'Розшифровка 2 до формування'!F216+'Розшифровка 2 до формування'!F221)</f>
        <v>-17058.5</v>
      </c>
      <c r="G10" s="119">
        <f t="shared" si="1"/>
        <v>-1801.7000000000007</v>
      </c>
      <c r="H10" s="119">
        <f t="shared" si="2"/>
        <v>111.80916050547953</v>
      </c>
      <c r="J10" s="117"/>
    </row>
    <row r="11" spans="1:10" ht="28.5" customHeight="1">
      <c r="A11" s="118" t="s">
        <v>2</v>
      </c>
      <c r="B11" s="173">
        <v>1012</v>
      </c>
      <c r="C11" s="119">
        <f>-('Розшифровка 2 до формування'!D16+'Розшифровка 2 до формування'!D63)</f>
        <v>-44258.6</v>
      </c>
      <c r="D11" s="119">
        <f t="shared" ref="D11:D14" si="3">F11</f>
        <v>-46266.9</v>
      </c>
      <c r="E11" s="119">
        <f>-('Розшифровка 2 до формування'!E16+'Розшифровка 2 до формування'!E63)</f>
        <v>-47646.1</v>
      </c>
      <c r="F11" s="93">
        <f>-('Розшифровка 2 до формування'!F16+'Розшифровка 2 до формування'!F63)</f>
        <v>-46266.9</v>
      </c>
      <c r="G11" s="119">
        <f t="shared" si="1"/>
        <v>1379.1999999999971</v>
      </c>
      <c r="H11" s="119">
        <f t="shared" si="2"/>
        <v>97.105324465171336</v>
      </c>
      <c r="J11" s="117"/>
    </row>
    <row r="12" spans="1:10" ht="29.25" customHeight="1">
      <c r="A12" s="118" t="s">
        <v>3</v>
      </c>
      <c r="B12" s="173">
        <v>1013</v>
      </c>
      <c r="C12" s="119">
        <f>-('Розшифровка 2 до формування'!D17+'Розшифровка 2 до формування'!D64)</f>
        <v>-9299</v>
      </c>
      <c r="D12" s="119">
        <f t="shared" si="3"/>
        <v>-9628</v>
      </c>
      <c r="E12" s="119">
        <f>-('Розшифровка 2 до формування'!E17+'Розшифровка 2 до формування'!E64)</f>
        <v>-10957.400000000001</v>
      </c>
      <c r="F12" s="93">
        <f>-('Розшифровка 2 до формування'!F17+'Розшифровка 2 до формування'!F64)</f>
        <v>-9628</v>
      </c>
      <c r="G12" s="119">
        <f t="shared" si="1"/>
        <v>1329.4000000000015</v>
      </c>
      <c r="H12" s="119">
        <f t="shared" si="2"/>
        <v>87.867559822585633</v>
      </c>
      <c r="J12" s="117"/>
    </row>
    <row r="13" spans="1:10" ht="29.25" customHeight="1">
      <c r="A13" s="118" t="s">
        <v>4</v>
      </c>
      <c r="B13" s="173">
        <v>1014</v>
      </c>
      <c r="C13" s="119">
        <f>-('Розшифровка 2 до формування'!D18+'Розшифровка 2 до формування'!D65+'Розшифровка 2 до формування'!D225+'Розшифровка 2 до формування'!D249)</f>
        <v>-3416.5</v>
      </c>
      <c r="D13" s="119">
        <f t="shared" si="3"/>
        <v>-3574.0000000000005</v>
      </c>
      <c r="E13" s="119">
        <f>-('Розшифровка 2 до формування'!E18+'Розшифровка 2 до формування'!E65+'Розшифровка 2 до формування'!E225+'Розшифровка 2 до формування'!E249)</f>
        <v>-4548</v>
      </c>
      <c r="F13" s="93">
        <f>-('Розшифровка 2 до формування'!F18+'Розшифровка 2 до формування'!F65+'Розшифровка 2 до формування'!F225+'Розшифровка 2 до формування'!F249)</f>
        <v>-3574.0000000000005</v>
      </c>
      <c r="G13" s="120">
        <f t="shared" si="1"/>
        <v>973.99999999999955</v>
      </c>
      <c r="H13" s="120">
        <f t="shared" si="2"/>
        <v>78.583992963940204</v>
      </c>
      <c r="J13" s="117"/>
    </row>
    <row r="14" spans="1:10" ht="30" customHeight="1">
      <c r="A14" s="118" t="s">
        <v>50</v>
      </c>
      <c r="B14" s="173">
        <v>1015</v>
      </c>
      <c r="C14" s="119">
        <f>-('Розшифровка 2 до формування'!D19+'Розшифровка 2 до формування'!D66+'Розшифровка 2 до формування'!D108+'Розшифровка 2 до формування'!D134+'Розшифровка 2 до формування'!D165+'Розшифровка 2 до формування'!D203+'Розшифровка 2 до формування'!D226)</f>
        <v>-7277.3</v>
      </c>
      <c r="D14" s="119">
        <f t="shared" si="3"/>
        <v>-11006.8</v>
      </c>
      <c r="E14" s="119">
        <f>-('Розшифровка 2 до формування'!E19+'Розшифровка 2 до формування'!E66+'Розшифровка 2 до формування'!E108+'Розшифровка 2 до формування'!E134+'Розшифровка 2 до формування'!E165+'Розшифровка 2 до формування'!E203+'Розшифровка 2 до формування'!E226)</f>
        <v>-12464.1</v>
      </c>
      <c r="F14" s="93">
        <f>-('Розшифровка 2 до формування'!F19+'Розшифровка 2 до формування'!F66+'Розшифровка 2 до формування'!F108+'Розшифровка 2 до формування'!F134+'Розшифровка 2 до формування'!F165+'Розшифровка 2 до формування'!F203+'Розшифровка 2 до формування'!F226)</f>
        <v>-11006.8</v>
      </c>
      <c r="G14" s="119">
        <f t="shared" si="1"/>
        <v>1457.3000000000011</v>
      </c>
      <c r="H14" s="119">
        <f t="shared" si="2"/>
        <v>88.308020635264469</v>
      </c>
      <c r="J14" s="117"/>
    </row>
    <row r="15" spans="1:10" ht="28.5" customHeight="1">
      <c r="A15" s="115" t="s">
        <v>25</v>
      </c>
      <c r="B15" s="173">
        <v>1020</v>
      </c>
      <c r="C15" s="93">
        <f>SUM(C8:C9)</f>
        <v>-1863.1999999999971</v>
      </c>
      <c r="D15" s="93">
        <f>SUM(D8:D9)</f>
        <v>-7832.1999999999971</v>
      </c>
      <c r="E15" s="93">
        <f>SUM(E8:E9)</f>
        <v>-9469.1999999999971</v>
      </c>
      <c r="F15" s="93">
        <f t="shared" si="0"/>
        <v>-7832.1999999999971</v>
      </c>
      <c r="G15" s="93">
        <f t="shared" si="1"/>
        <v>1637</v>
      </c>
      <c r="H15" s="93">
        <f t="shared" si="2"/>
        <v>82.712372745321673</v>
      </c>
    </row>
    <row r="16" spans="1:10" ht="42" customHeight="1">
      <c r="A16" s="115" t="s">
        <v>89</v>
      </c>
      <c r="B16" s="116">
        <v>1020</v>
      </c>
      <c r="C16" s="93">
        <f>SUM(C17:C21)</f>
        <v>-4925.8999999999996</v>
      </c>
      <c r="D16" s="93">
        <f>SUM(D17:D21)</f>
        <v>-7297.1999999999989</v>
      </c>
      <c r="E16" s="93">
        <f>SUM(E17:E21)</f>
        <v>-6775.3</v>
      </c>
      <c r="F16" s="93">
        <f t="shared" si="0"/>
        <v>-7297.1999999999989</v>
      </c>
      <c r="G16" s="93">
        <f t="shared" si="1"/>
        <v>-521.89999999999873</v>
      </c>
      <c r="H16" s="93">
        <f t="shared" si="2"/>
        <v>107.70297994184756</v>
      </c>
    </row>
    <row r="17" spans="1:8" ht="27.75" customHeight="1">
      <c r="A17" s="118" t="s">
        <v>68</v>
      </c>
      <c r="B17" s="173">
        <v>1021</v>
      </c>
      <c r="C17" s="119">
        <f>-('Розшифровка 2 до формування'!D38)</f>
        <v>-27.6</v>
      </c>
      <c r="D17" s="119">
        <f>F17</f>
        <v>-29.2</v>
      </c>
      <c r="E17" s="119">
        <f>-('Розшифровка 2 до формування'!E38)</f>
        <v>0</v>
      </c>
      <c r="F17" s="93">
        <f>-('Розшифровка 2 до формування'!F38)</f>
        <v>-29.2</v>
      </c>
      <c r="G17" s="119">
        <f t="shared" si="1"/>
        <v>-29.2</v>
      </c>
      <c r="H17" s="119" t="e">
        <f t="shared" si="2"/>
        <v>#DIV/0!</v>
      </c>
    </row>
    <row r="18" spans="1:8" ht="27.75" customHeight="1">
      <c r="A18" s="118" t="s">
        <v>2</v>
      </c>
      <c r="B18" s="173">
        <v>1022</v>
      </c>
      <c r="C18" s="119">
        <f>-('Розшифровка 2 до формування'!D40)</f>
        <v>-2816.8</v>
      </c>
      <c r="D18" s="119">
        <f t="shared" ref="D18:D21" si="4">F18</f>
        <v>-3672.6</v>
      </c>
      <c r="E18" s="119">
        <f>-('Розшифровка 2 до формування'!E40)</f>
        <v>-4218.2</v>
      </c>
      <c r="F18" s="93">
        <f>-('Розшифровка 2 до формування'!F40)</f>
        <v>-3672.6</v>
      </c>
      <c r="G18" s="119">
        <f t="shared" si="1"/>
        <v>545.59999999999991</v>
      </c>
      <c r="H18" s="119">
        <f t="shared" si="2"/>
        <v>87.06557299321986</v>
      </c>
    </row>
    <row r="19" spans="1:8" ht="27.75" customHeight="1">
      <c r="A19" s="118" t="s">
        <v>3</v>
      </c>
      <c r="B19" s="173">
        <v>1023</v>
      </c>
      <c r="C19" s="119">
        <f>-('Розшифровка 2 до формування'!D41)</f>
        <v>-564.1</v>
      </c>
      <c r="D19" s="119">
        <f t="shared" si="4"/>
        <v>-811.1</v>
      </c>
      <c r="E19" s="119">
        <f>-('Розшифровка 2 до формування'!E41)</f>
        <v>-969.8</v>
      </c>
      <c r="F19" s="93">
        <f>-('Розшифровка 2 до формування'!F41)</f>
        <v>-811.1</v>
      </c>
      <c r="G19" s="119">
        <f t="shared" si="1"/>
        <v>158.69999999999993</v>
      </c>
      <c r="H19" s="119">
        <f t="shared" si="2"/>
        <v>83.635801196122912</v>
      </c>
    </row>
    <row r="20" spans="1:8" ht="27.75" customHeight="1">
      <c r="A20" s="118" t="s">
        <v>4</v>
      </c>
      <c r="B20" s="173">
        <v>1024</v>
      </c>
      <c r="C20" s="119">
        <f>-('Розшифровка 2 до формування'!D252)</f>
        <v>-795.2</v>
      </c>
      <c r="D20" s="119">
        <f t="shared" si="4"/>
        <v>-1946.7</v>
      </c>
      <c r="E20" s="119">
        <f>-('Розшифровка 2 до формування'!E252)</f>
        <v>-952</v>
      </c>
      <c r="F20" s="93">
        <f>-('Розшифровка 2 до формування'!F252)</f>
        <v>-1946.7</v>
      </c>
      <c r="G20" s="120">
        <f t="shared" si="1"/>
        <v>-994.7</v>
      </c>
      <c r="H20" s="120">
        <f t="shared" si="2"/>
        <v>204.48529411764707</v>
      </c>
    </row>
    <row r="21" spans="1:8" ht="27.75" customHeight="1">
      <c r="A21" s="118" t="s">
        <v>69</v>
      </c>
      <c r="B21" s="173">
        <v>1025</v>
      </c>
      <c r="C21" s="119">
        <f>-('Розшифровка 2 до формування'!D42+'Розшифровка 2 до формування'!D87+'Розшифровка 2 до формування'!D120+'Розшифровка 2 до формування'!D141+'Розшифровка 2 до формування'!D177+'Розшифровка 2 до формування'!D235)</f>
        <v>-722.2</v>
      </c>
      <c r="D21" s="119">
        <f t="shared" si="4"/>
        <v>-837.59999999999991</v>
      </c>
      <c r="E21" s="119">
        <f>-('Розшифровка 2 до формування'!E42+'Розшифровка 2 до формування'!E87+'Розшифровка 2 до формування'!E120+'Розшифровка 2 до формування'!E141+'Розшифровка 2 до формування'!E177+'Розшифровка 2 до формування'!E235)</f>
        <v>-635.29999999999995</v>
      </c>
      <c r="F21" s="93">
        <f>-('Розшифровка 2 до формування'!F42+'Розшифровка 2 до формування'!F87+'Розшифровка 2 до формування'!F120+'Розшифровка 2 до формування'!F141+'Розшифровка 2 до формування'!F177+'Розшифровка 2 до формування'!F235)</f>
        <v>-837.59999999999991</v>
      </c>
      <c r="G21" s="119">
        <f t="shared" si="1"/>
        <v>-202.29999999999995</v>
      </c>
      <c r="H21" s="119">
        <f t="shared" si="2"/>
        <v>131.84322367385485</v>
      </c>
    </row>
    <row r="22" spans="1:8" ht="38.25" customHeight="1">
      <c r="A22" s="115" t="s">
        <v>35</v>
      </c>
      <c r="B22" s="116">
        <v>1040</v>
      </c>
      <c r="C22" s="93">
        <f>SUM(C23:C24)</f>
        <v>12291.2</v>
      </c>
      <c r="D22" s="93">
        <f>SUM(D23:D24)</f>
        <v>15770.399999999998</v>
      </c>
      <c r="E22" s="93">
        <f>SUM(E23:E24)</f>
        <v>10216.099999999999</v>
      </c>
      <c r="F22" s="93">
        <f t="shared" si="0"/>
        <v>15770.399999999998</v>
      </c>
      <c r="G22" s="93">
        <f t="shared" si="1"/>
        <v>5554.2999999999993</v>
      </c>
      <c r="H22" s="93">
        <f t="shared" si="2"/>
        <v>154.36810524564169</v>
      </c>
    </row>
    <row r="23" spans="1:8" ht="30.75" customHeight="1">
      <c r="A23" s="118" t="s">
        <v>36</v>
      </c>
      <c r="B23" s="173">
        <v>1041</v>
      </c>
      <c r="C23" s="119"/>
      <c r="D23" s="119"/>
      <c r="E23" s="119"/>
      <c r="F23" s="93">
        <f t="shared" si="0"/>
        <v>0</v>
      </c>
      <c r="G23" s="119">
        <f t="shared" si="1"/>
        <v>0</v>
      </c>
      <c r="H23" s="120" t="e">
        <f t="shared" si="2"/>
        <v>#DIV/0!</v>
      </c>
    </row>
    <row r="24" spans="1:8" ht="27.75" customHeight="1">
      <c r="A24" s="118" t="s">
        <v>37</v>
      </c>
      <c r="B24" s="173">
        <v>1042</v>
      </c>
      <c r="C24" s="119">
        <f>'Розшифровка 1 до Формування'!D10</f>
        <v>12291.2</v>
      </c>
      <c r="D24" s="119">
        <f>F24</f>
        <v>15770.399999999998</v>
      </c>
      <c r="E24" s="119">
        <f>'Розшифровка 1 до Формування'!E10</f>
        <v>10216.099999999999</v>
      </c>
      <c r="F24" s="93">
        <f>'Розшифровка 1 до Формування'!F10</f>
        <v>15770.399999999998</v>
      </c>
      <c r="G24" s="119">
        <f t="shared" si="1"/>
        <v>5554.2999999999993</v>
      </c>
      <c r="H24" s="119">
        <f t="shared" si="2"/>
        <v>154.36810524564169</v>
      </c>
    </row>
    <row r="25" spans="1:8" ht="42.75" customHeight="1">
      <c r="A25" s="115" t="s">
        <v>12</v>
      </c>
      <c r="B25" s="116">
        <v>1030</v>
      </c>
      <c r="C25" s="93">
        <f>SUM(C26:C30)</f>
        <v>-931.69999999999993</v>
      </c>
      <c r="D25" s="93">
        <f>SUM(D26:D30)</f>
        <v>-1283.2</v>
      </c>
      <c r="E25" s="93">
        <f>SUM(E26:E30)</f>
        <v>-276.60000000000002</v>
      </c>
      <c r="F25" s="93">
        <f t="shared" si="0"/>
        <v>-1283.2</v>
      </c>
      <c r="G25" s="93">
        <f t="shared" si="1"/>
        <v>-1006.6</v>
      </c>
      <c r="H25" s="93">
        <f t="shared" si="2"/>
        <v>463.91901663051334</v>
      </c>
    </row>
    <row r="26" spans="1:8" ht="27.75" customHeight="1">
      <c r="A26" s="118" t="s">
        <v>68</v>
      </c>
      <c r="B26" s="173">
        <v>1031</v>
      </c>
      <c r="C26" s="119"/>
      <c r="D26" s="119">
        <v>0</v>
      </c>
      <c r="E26" s="119"/>
      <c r="F26" s="93">
        <f t="shared" si="0"/>
        <v>0</v>
      </c>
      <c r="G26" s="120">
        <f t="shared" si="1"/>
        <v>0</v>
      </c>
      <c r="H26" s="120" t="e">
        <f t="shared" si="2"/>
        <v>#DIV/0!</v>
      </c>
    </row>
    <row r="27" spans="1:8" ht="27.75" customHeight="1">
      <c r="A27" s="118" t="s">
        <v>2</v>
      </c>
      <c r="B27" s="173">
        <v>1032</v>
      </c>
      <c r="C27" s="119">
        <f>-('Розшифровка 2 до формування'!D50)</f>
        <v>-607</v>
      </c>
      <c r="D27" s="119">
        <f>F27</f>
        <v>-700.7</v>
      </c>
      <c r="E27" s="119">
        <f>-('Розшифровка 2 до формування'!E50)</f>
        <v>0</v>
      </c>
      <c r="F27" s="93">
        <f>-('Розшифровка 2 до формування'!F50)</f>
        <v>-700.7</v>
      </c>
      <c r="G27" s="120">
        <f t="shared" si="1"/>
        <v>-700.7</v>
      </c>
      <c r="H27" s="120" t="e">
        <f t="shared" si="2"/>
        <v>#DIV/0!</v>
      </c>
    </row>
    <row r="28" spans="1:8" ht="27.75" customHeight="1">
      <c r="A28" s="118" t="s">
        <v>3</v>
      </c>
      <c r="B28" s="173">
        <v>1033</v>
      </c>
      <c r="C28" s="119">
        <f>-('Розшифровка 2 до формування'!D51)</f>
        <v>-224.4</v>
      </c>
      <c r="D28" s="119">
        <f t="shared" ref="D28:D30" si="5">F28</f>
        <v>-264.39999999999998</v>
      </c>
      <c r="E28" s="119">
        <f>-('Розшифровка 2 до формування'!E51)</f>
        <v>0</v>
      </c>
      <c r="F28" s="93">
        <f>-('Розшифровка 2 до формування'!F51)</f>
        <v>-264.39999999999998</v>
      </c>
      <c r="G28" s="120">
        <f t="shared" si="1"/>
        <v>-264.39999999999998</v>
      </c>
      <c r="H28" s="120" t="e">
        <f t="shared" si="2"/>
        <v>#DIV/0!</v>
      </c>
    </row>
    <row r="29" spans="1:8" ht="27.75" customHeight="1">
      <c r="A29" s="118" t="s">
        <v>4</v>
      </c>
      <c r="B29" s="173">
        <v>1034</v>
      </c>
      <c r="C29" s="119"/>
      <c r="D29" s="119">
        <f t="shared" si="5"/>
        <v>0</v>
      </c>
      <c r="E29" s="119"/>
      <c r="F29" s="93"/>
      <c r="G29" s="120">
        <f t="shared" si="1"/>
        <v>0</v>
      </c>
      <c r="H29" s="120" t="e">
        <f t="shared" si="2"/>
        <v>#DIV/0!</v>
      </c>
    </row>
    <row r="30" spans="1:8" ht="27.75" customHeight="1">
      <c r="A30" s="118" t="s">
        <v>70</v>
      </c>
      <c r="B30" s="173">
        <v>1035</v>
      </c>
      <c r="C30" s="119">
        <f>-('Розшифровка 2 до формування'!D52+'Розшифровка 2 до формування'!D98+'Розшифровка 2 до формування'!D155+'Розшифровка 2 до формування'!D192+'Розшифровка 2 до формування'!D211+'Розшифровка 2 до формування'!D244)</f>
        <v>-100.3</v>
      </c>
      <c r="D30" s="119">
        <f t="shared" si="5"/>
        <v>-318.10000000000002</v>
      </c>
      <c r="E30" s="119">
        <f>-('Розшифровка 2 до формування'!E52+'Розшифровка 2 до формування'!E98+'Розшифровка 2 до формування'!E155+'Розшифровка 2 до формування'!E192+'Розшифровка 2 до формування'!E211+'Розшифровка 2 до формування'!E244)</f>
        <v>-276.60000000000002</v>
      </c>
      <c r="F30" s="93">
        <f>-('Розшифровка 2 до формування'!F52+'Розшифровка 2 до формування'!F98+'Розшифровка 2 до формування'!F155+'Розшифровка 2 до формування'!F192+'Розшифровка 2 до формування'!F211+'Розшифровка 2 до формування'!F244)</f>
        <v>-318.10000000000002</v>
      </c>
      <c r="G30" s="119">
        <f t="shared" si="1"/>
        <v>-41.5</v>
      </c>
      <c r="H30" s="119">
        <f t="shared" si="2"/>
        <v>115.00361532899494</v>
      </c>
    </row>
    <row r="31" spans="1:8" ht="47.25" customHeight="1">
      <c r="A31" s="115" t="s">
        <v>1</v>
      </c>
      <c r="B31" s="173">
        <v>1100</v>
      </c>
      <c r="C31" s="93">
        <f>SUM(C15,C16,C22,C25)</f>
        <v>4570.4000000000042</v>
      </c>
      <c r="D31" s="93">
        <f>SUM(D15,D16,D22,D25)</f>
        <v>-642.19999999999823</v>
      </c>
      <c r="E31" s="93">
        <f>SUM(E15,E16,E22,E25)</f>
        <v>-6304.9999999999982</v>
      </c>
      <c r="F31" s="93">
        <f t="shared" si="0"/>
        <v>-642.19999999999823</v>
      </c>
      <c r="G31" s="93">
        <f t="shared" si="1"/>
        <v>5662.8</v>
      </c>
      <c r="H31" s="93">
        <f t="shared" si="2"/>
        <v>10.185567010309253</v>
      </c>
    </row>
    <row r="32" spans="1:8" ht="27.75" customHeight="1">
      <c r="A32" s="115" t="s">
        <v>123</v>
      </c>
      <c r="B32" s="116">
        <v>1130</v>
      </c>
      <c r="C32" s="93">
        <f>'Розшифровка 1 до Формування'!D17</f>
        <v>772.8</v>
      </c>
      <c r="D32" s="93">
        <f>F32</f>
        <v>1347.1</v>
      </c>
      <c r="E32" s="93">
        <f>'Розшифровка 1 до Формування'!E17</f>
        <v>805</v>
      </c>
      <c r="F32" s="93">
        <f>'Розшифровка 1 до Формування'!F17</f>
        <v>1347.1</v>
      </c>
      <c r="G32" s="93">
        <f t="shared" si="1"/>
        <v>542.09999999999991</v>
      </c>
      <c r="H32" s="93">
        <f t="shared" si="2"/>
        <v>167.34161490683229</v>
      </c>
    </row>
    <row r="33" spans="1:11" ht="27.75" customHeight="1">
      <c r="A33" s="121" t="s">
        <v>124</v>
      </c>
      <c r="B33" s="116">
        <v>1140</v>
      </c>
      <c r="C33" s="93" t="s">
        <v>26</v>
      </c>
      <c r="D33" s="93" t="s">
        <v>26</v>
      </c>
      <c r="E33" s="119" t="s">
        <v>26</v>
      </c>
      <c r="F33" s="93" t="str">
        <f t="shared" si="0"/>
        <v>(    )</v>
      </c>
      <c r="G33" s="122" t="e">
        <f t="shared" si="1"/>
        <v>#VALUE!</v>
      </c>
      <c r="H33" s="122" t="e">
        <f t="shared" si="2"/>
        <v>#VALUE!</v>
      </c>
    </row>
    <row r="34" spans="1:11" ht="27.75" customHeight="1">
      <c r="A34" s="115" t="s">
        <v>125</v>
      </c>
      <c r="B34" s="116">
        <v>1150</v>
      </c>
      <c r="C34" s="93">
        <f>'Розшифровка 1 до Формування'!D19</f>
        <v>3965.7</v>
      </c>
      <c r="D34" s="93">
        <f>F34</f>
        <v>5079.1000000000004</v>
      </c>
      <c r="E34" s="93">
        <f>'Розшифровка 1 до Формування'!E19</f>
        <v>5500</v>
      </c>
      <c r="F34" s="93">
        <f>'Розшифровка 1 до Формування'!F19</f>
        <v>5079.1000000000004</v>
      </c>
      <c r="G34" s="93">
        <f t="shared" si="1"/>
        <v>-420.89999999999964</v>
      </c>
      <c r="H34" s="93">
        <f t="shared" si="2"/>
        <v>92.347272727272738</v>
      </c>
    </row>
    <row r="35" spans="1:11" ht="27.75" customHeight="1">
      <c r="A35" s="115" t="s">
        <v>126</v>
      </c>
      <c r="B35" s="116">
        <v>1160</v>
      </c>
      <c r="C35" s="93" t="s">
        <v>26</v>
      </c>
      <c r="D35" s="93">
        <f>F35</f>
        <v>-124.5</v>
      </c>
      <c r="E35" s="119" t="s">
        <v>26</v>
      </c>
      <c r="F35" s="93">
        <f>-'Розшифровка 1 до Формування'!F93</f>
        <v>-124.5</v>
      </c>
      <c r="G35" s="122" t="e">
        <f t="shared" si="1"/>
        <v>#VALUE!</v>
      </c>
      <c r="H35" s="122" t="e">
        <f t="shared" si="2"/>
        <v>#VALUE!</v>
      </c>
    </row>
    <row r="36" spans="1:11" ht="28.5" customHeight="1">
      <c r="A36" s="115" t="s">
        <v>15</v>
      </c>
      <c r="B36" s="116">
        <v>1170</v>
      </c>
      <c r="C36" s="93">
        <f>SUM(C31, C32:C35)</f>
        <v>9308.9000000000051</v>
      </c>
      <c r="D36" s="93">
        <f>SUM(D31, D32:D35)</f>
        <v>5659.5000000000018</v>
      </c>
      <c r="E36" s="93">
        <f>SUM(E31, E32:E35)</f>
        <v>0</v>
      </c>
      <c r="F36" s="93">
        <f t="shared" si="0"/>
        <v>5659.5000000000018</v>
      </c>
      <c r="G36" s="93">
        <f t="shared" si="1"/>
        <v>5659.5000000000018</v>
      </c>
      <c r="H36" s="122" t="e">
        <f t="shared" si="2"/>
        <v>#DIV/0!</v>
      </c>
    </row>
    <row r="37" spans="1:11" ht="27.75" customHeight="1">
      <c r="A37" s="121" t="s">
        <v>28</v>
      </c>
      <c r="B37" s="173">
        <v>1180</v>
      </c>
      <c r="C37" s="119" t="s">
        <v>26</v>
      </c>
      <c r="D37" s="119" t="s">
        <v>26</v>
      </c>
      <c r="E37" s="119" t="s">
        <v>26</v>
      </c>
      <c r="F37" s="93" t="str">
        <f t="shared" si="0"/>
        <v>(    )</v>
      </c>
      <c r="G37" s="120" t="e">
        <f t="shared" si="1"/>
        <v>#VALUE!</v>
      </c>
      <c r="H37" s="120" t="e">
        <f t="shared" si="2"/>
        <v>#VALUE!</v>
      </c>
    </row>
    <row r="38" spans="1:11" ht="27" customHeight="1">
      <c r="A38" s="121" t="s">
        <v>29</v>
      </c>
      <c r="B38" s="173">
        <v>1181</v>
      </c>
      <c r="C38" s="119"/>
      <c r="D38" s="119"/>
      <c r="E38" s="119"/>
      <c r="F38" s="93">
        <f>D38</f>
        <v>0</v>
      </c>
      <c r="G38" s="122">
        <f t="shared" si="1"/>
        <v>0</v>
      </c>
      <c r="H38" s="120" t="e">
        <f t="shared" si="2"/>
        <v>#DIV/0!</v>
      </c>
    </row>
    <row r="39" spans="1:11" ht="28.5" customHeight="1">
      <c r="A39" s="115" t="s">
        <v>46</v>
      </c>
      <c r="B39" s="173">
        <v>1200</v>
      </c>
      <c r="C39" s="93">
        <f>SUM(C36:C38)</f>
        <v>9308.9000000000051</v>
      </c>
      <c r="D39" s="93">
        <f>SUM(D36:D38)</f>
        <v>5659.5000000000018</v>
      </c>
      <c r="E39" s="93">
        <f>SUM(E36:E38)</f>
        <v>0</v>
      </c>
      <c r="F39" s="93">
        <f t="shared" si="0"/>
        <v>5659.5000000000018</v>
      </c>
      <c r="G39" s="93">
        <f t="shared" si="1"/>
        <v>5659.5000000000018</v>
      </c>
      <c r="H39" s="122" t="e">
        <f t="shared" si="2"/>
        <v>#DIV/0!</v>
      </c>
    </row>
    <row r="40" spans="1:11" ht="35.25" customHeight="1">
      <c r="A40" s="121" t="s">
        <v>47</v>
      </c>
      <c r="B40" s="173">
        <v>1201</v>
      </c>
      <c r="C40" s="93">
        <v>9308.9</v>
      </c>
      <c r="D40" s="93">
        <v>5659.5</v>
      </c>
      <c r="E40" s="119"/>
      <c r="F40" s="93">
        <f t="shared" si="0"/>
        <v>5659.5</v>
      </c>
      <c r="G40" s="120">
        <f t="shared" si="1"/>
        <v>5659.5</v>
      </c>
      <c r="H40" s="120" t="e">
        <f t="shared" si="2"/>
        <v>#DIV/0!</v>
      </c>
    </row>
    <row r="41" spans="1:11" ht="33" customHeight="1">
      <c r="A41" s="121" t="s">
        <v>48</v>
      </c>
      <c r="B41" s="173">
        <v>1202</v>
      </c>
      <c r="C41" s="119"/>
      <c r="D41" s="119" t="s">
        <v>26</v>
      </c>
      <c r="E41" s="119" t="s">
        <v>26</v>
      </c>
      <c r="F41" s="93" t="str">
        <f>D41</f>
        <v>(    )</v>
      </c>
      <c r="G41" s="120" t="e">
        <f t="shared" si="1"/>
        <v>#VALUE!</v>
      </c>
      <c r="H41" s="120" t="e">
        <f t="shared" si="2"/>
        <v>#VALUE!</v>
      </c>
      <c r="J41" s="123"/>
    </row>
    <row r="42" spans="1:11" ht="33" customHeight="1">
      <c r="A42" s="115" t="s">
        <v>116</v>
      </c>
      <c r="B42" s="116">
        <v>1210</v>
      </c>
      <c r="C42" s="93">
        <f>SUM(C8,C22,C32,C34,C38)</f>
        <v>95013.8</v>
      </c>
      <c r="D42" s="93">
        <f>SUM(D8,D22,D32,D34,D38)</f>
        <v>101898.6</v>
      </c>
      <c r="E42" s="93">
        <f>SUM(E8,E22,E32,E34,E38)</f>
        <v>97924.299999999988</v>
      </c>
      <c r="F42" s="93">
        <f t="shared" si="0"/>
        <v>101898.6</v>
      </c>
      <c r="G42" s="93">
        <f t="shared" si="1"/>
        <v>3974.3000000000175</v>
      </c>
      <c r="H42" s="93">
        <f t="shared" si="2"/>
        <v>104.05854318080397</v>
      </c>
      <c r="I42" s="123">
        <f>101898.6-D42</f>
        <v>0</v>
      </c>
      <c r="J42" s="123"/>
      <c r="K42" s="123"/>
    </row>
    <row r="43" spans="1:11" ht="33" customHeight="1">
      <c r="A43" s="115" t="s">
        <v>117</v>
      </c>
      <c r="B43" s="116">
        <v>1220</v>
      </c>
      <c r="C43" s="93">
        <f>SUM(C9,C16,C25,C33,C35,C37)</f>
        <v>-85704.9</v>
      </c>
      <c r="D43" s="93">
        <f>SUM(D9,D16,D25,D33,D35,D37)</f>
        <v>-96239.099999999991</v>
      </c>
      <c r="E43" s="93">
        <f>SUM(E9,E16,E25,E33,E35,E37)</f>
        <v>-97924.3</v>
      </c>
      <c r="F43" s="93">
        <f t="shared" si="0"/>
        <v>-96239.099999999991</v>
      </c>
      <c r="G43" s="93">
        <f t="shared" si="1"/>
        <v>1685.2000000000116</v>
      </c>
      <c r="H43" s="93">
        <f t="shared" si="2"/>
        <v>98.279078839470884</v>
      </c>
      <c r="I43" s="123"/>
    </row>
    <row r="44" spans="1:11" ht="33" customHeight="1">
      <c r="A44" s="213" t="s">
        <v>131</v>
      </c>
      <c r="B44" s="213"/>
      <c r="C44" s="213"/>
      <c r="D44" s="213"/>
      <c r="E44" s="213"/>
      <c r="F44" s="213"/>
      <c r="G44" s="213"/>
      <c r="H44" s="213"/>
      <c r="J44" s="123"/>
      <c r="K44" s="123"/>
    </row>
    <row r="45" spans="1:11" ht="33" customHeight="1">
      <c r="A45" s="118" t="s">
        <v>56</v>
      </c>
      <c r="B45" s="174">
        <v>9000</v>
      </c>
      <c r="C45" s="119">
        <f>-(C10+C17)</f>
        <v>15623.5</v>
      </c>
      <c r="D45" s="119">
        <f t="shared" ref="D45:F45" si="6">-(D10+D17)</f>
        <v>17087.7</v>
      </c>
      <c r="E45" s="119">
        <f t="shared" si="6"/>
        <v>15256.8</v>
      </c>
      <c r="F45" s="119">
        <f t="shared" si="6"/>
        <v>17087.7</v>
      </c>
      <c r="G45" s="124">
        <f t="shared" ref="G45:G50" si="7">F45-E45</f>
        <v>1830.9000000000015</v>
      </c>
      <c r="H45" s="124">
        <f t="shared" ref="H45:H50" si="8">(F45/E45)*100</f>
        <v>112.00055057417022</v>
      </c>
    </row>
    <row r="46" spans="1:11" ht="33" customHeight="1">
      <c r="A46" s="118" t="s">
        <v>2</v>
      </c>
      <c r="B46" s="174">
        <v>9010</v>
      </c>
      <c r="C46" s="119">
        <f>-(C11+C18+C27)</f>
        <v>47682.400000000001</v>
      </c>
      <c r="D46" s="119">
        <f t="shared" ref="D46:F46" si="9">-(D11+D18+D27)</f>
        <v>50640.2</v>
      </c>
      <c r="E46" s="119">
        <f t="shared" si="9"/>
        <v>51864.299999999996</v>
      </c>
      <c r="F46" s="119">
        <f t="shared" si="9"/>
        <v>50640.2</v>
      </c>
      <c r="G46" s="124">
        <f t="shared" si="7"/>
        <v>-1224.0999999999985</v>
      </c>
      <c r="H46" s="124">
        <f t="shared" si="8"/>
        <v>97.63980233031198</v>
      </c>
      <c r="I46" s="123"/>
    </row>
    <row r="47" spans="1:11" ht="33" customHeight="1">
      <c r="A47" s="118" t="s">
        <v>3</v>
      </c>
      <c r="B47" s="174">
        <v>9020</v>
      </c>
      <c r="C47" s="119">
        <f>-(C12+C19+C28)</f>
        <v>10087.5</v>
      </c>
      <c r="D47" s="119">
        <f t="shared" ref="D47:F47" si="10">-(D12+D19+D28)</f>
        <v>10703.5</v>
      </c>
      <c r="E47" s="119">
        <f t="shared" si="10"/>
        <v>11927.2</v>
      </c>
      <c r="F47" s="119">
        <f t="shared" si="10"/>
        <v>10703.5</v>
      </c>
      <c r="G47" s="124">
        <f t="shared" si="7"/>
        <v>-1223.7000000000007</v>
      </c>
      <c r="H47" s="124">
        <f t="shared" si="8"/>
        <v>89.740257562546105</v>
      </c>
    </row>
    <row r="48" spans="1:11" ht="33" customHeight="1">
      <c r="A48" s="118" t="s">
        <v>4</v>
      </c>
      <c r="B48" s="174">
        <v>9030</v>
      </c>
      <c r="C48" s="119">
        <f>-(C13+C20)</f>
        <v>4211.7</v>
      </c>
      <c r="D48" s="119">
        <f t="shared" ref="D48:F48" si="11">-(D13+D20)</f>
        <v>5520.7000000000007</v>
      </c>
      <c r="E48" s="119">
        <f t="shared" si="11"/>
        <v>5500</v>
      </c>
      <c r="F48" s="119">
        <f t="shared" si="11"/>
        <v>5520.7000000000007</v>
      </c>
      <c r="G48" s="124">
        <f t="shared" si="7"/>
        <v>20.700000000000728</v>
      </c>
      <c r="H48" s="124">
        <f t="shared" si="8"/>
        <v>100.37636363636364</v>
      </c>
    </row>
    <row r="49" spans="1:8" ht="33" customHeight="1">
      <c r="A49" s="118" t="s">
        <v>6</v>
      </c>
      <c r="B49" s="174">
        <v>9040</v>
      </c>
      <c r="C49" s="119">
        <f>-(C14+C21+C30)</f>
        <v>8099.8</v>
      </c>
      <c r="D49" s="119">
        <f t="shared" ref="D49:F49" si="12">-(D14+D21+D30)</f>
        <v>12162.5</v>
      </c>
      <c r="E49" s="119">
        <f t="shared" si="12"/>
        <v>13376</v>
      </c>
      <c r="F49" s="119">
        <f t="shared" si="12"/>
        <v>12162.5</v>
      </c>
      <c r="G49" s="124">
        <f t="shared" si="7"/>
        <v>-1213.5</v>
      </c>
      <c r="H49" s="124">
        <f t="shared" si="8"/>
        <v>90.92778110047847</v>
      </c>
    </row>
    <row r="50" spans="1:8" ht="33" customHeight="1">
      <c r="A50" s="125" t="s">
        <v>9</v>
      </c>
      <c r="B50" s="172">
        <v>9050</v>
      </c>
      <c r="C50" s="93">
        <f>SUM(C45:C49)</f>
        <v>85704.9</v>
      </c>
      <c r="D50" s="93">
        <f>SUM(D45:D49)</f>
        <v>96114.599999999991</v>
      </c>
      <c r="E50" s="93">
        <f>SUM(E45:E49)</f>
        <v>97924.299999999988</v>
      </c>
      <c r="F50" s="93">
        <f>SUM(F45:F49)</f>
        <v>96114.599999999991</v>
      </c>
      <c r="G50" s="126">
        <f t="shared" si="7"/>
        <v>-1809.6999999999971</v>
      </c>
      <c r="H50" s="126">
        <f t="shared" si="8"/>
        <v>98.151939814734448</v>
      </c>
    </row>
    <row r="51" spans="1:8" ht="33" customHeight="1">
      <c r="A51" s="223" t="s">
        <v>99</v>
      </c>
      <c r="B51" s="223"/>
      <c r="C51" s="223"/>
      <c r="D51" s="223"/>
      <c r="E51" s="223"/>
      <c r="F51" s="223"/>
      <c r="G51" s="223"/>
      <c r="H51" s="223"/>
    </row>
    <row r="52" spans="1:8" ht="69" customHeight="1">
      <c r="A52" s="127" t="s">
        <v>135</v>
      </c>
      <c r="B52" s="116">
        <v>2110</v>
      </c>
      <c r="C52" s="93">
        <f>SUM(C53:C56)</f>
        <v>-787.63600000000008</v>
      </c>
      <c r="D52" s="93">
        <f>SUM(D53:D56)</f>
        <v>-2650.8</v>
      </c>
      <c r="E52" s="93">
        <f>SUM(E53:E56)</f>
        <v>-2663.2</v>
      </c>
      <c r="F52" s="93">
        <f>SUM(F53:F56)</f>
        <v>-2650.8</v>
      </c>
      <c r="G52" s="93">
        <f t="shared" ref="G52:G68" si="13">F52-E52</f>
        <v>12.399999999999636</v>
      </c>
      <c r="H52" s="93">
        <f>(F52/E52)*100</f>
        <v>99.534394713127085</v>
      </c>
    </row>
    <row r="53" spans="1:8" ht="44.25" customHeight="1">
      <c r="A53" s="118" t="s">
        <v>53</v>
      </c>
      <c r="B53" s="173">
        <v>2111</v>
      </c>
      <c r="C53" s="119">
        <v>-72.400000000000006</v>
      </c>
      <c r="D53" s="119">
        <v>-118.8</v>
      </c>
      <c r="E53" s="119">
        <v>-70</v>
      </c>
      <c r="F53" s="119">
        <f>D53</f>
        <v>-118.8</v>
      </c>
      <c r="G53" s="119">
        <f t="shared" si="13"/>
        <v>-48.8</v>
      </c>
      <c r="H53" s="119">
        <f t="shared" ref="H53:H68" si="14">(F53/E53)*100</f>
        <v>169.71428571428569</v>
      </c>
    </row>
    <row r="54" spans="1:8" ht="48.75" customHeight="1">
      <c r="A54" s="128" t="s">
        <v>54</v>
      </c>
      <c r="B54" s="173">
        <v>2112</v>
      </c>
      <c r="C54" s="119" t="s">
        <v>26</v>
      </c>
      <c r="D54" s="119" t="s">
        <v>26</v>
      </c>
      <c r="E54" s="119"/>
      <c r="F54" s="119" t="s">
        <v>26</v>
      </c>
      <c r="G54" s="120" t="e">
        <f t="shared" si="13"/>
        <v>#VALUE!</v>
      </c>
      <c r="H54" s="120" t="e">
        <f t="shared" si="14"/>
        <v>#VALUE!</v>
      </c>
    </row>
    <row r="55" spans="1:8" ht="28.5" customHeight="1">
      <c r="A55" s="118" t="s">
        <v>61</v>
      </c>
      <c r="B55" s="173">
        <v>2113</v>
      </c>
      <c r="C55" s="119">
        <f>-C46*1.5/100</f>
        <v>-715.2360000000001</v>
      </c>
      <c r="D55" s="119">
        <v>-2532</v>
      </c>
      <c r="E55" s="119">
        <v>-2593.1999999999998</v>
      </c>
      <c r="F55" s="119">
        <f>D55</f>
        <v>-2532</v>
      </c>
      <c r="G55" s="119">
        <f t="shared" si="13"/>
        <v>61.199999999999818</v>
      </c>
      <c r="H55" s="119">
        <f t="shared" si="14"/>
        <v>97.639981490050914</v>
      </c>
    </row>
    <row r="56" spans="1:8" ht="33" customHeight="1">
      <c r="A56" s="118" t="s">
        <v>40</v>
      </c>
      <c r="B56" s="173">
        <v>2114</v>
      </c>
      <c r="C56" s="119" t="s">
        <v>26</v>
      </c>
      <c r="D56" s="119" t="s">
        <v>26</v>
      </c>
      <c r="E56" s="119" t="s">
        <v>26</v>
      </c>
      <c r="F56" s="119" t="s">
        <v>26</v>
      </c>
      <c r="G56" s="120" t="e">
        <f t="shared" si="13"/>
        <v>#VALUE!</v>
      </c>
      <c r="H56" s="120" t="e">
        <f t="shared" si="14"/>
        <v>#VALUE!</v>
      </c>
    </row>
    <row r="57" spans="1:8" ht="43.5" customHeight="1">
      <c r="A57" s="129" t="s">
        <v>58</v>
      </c>
      <c r="B57" s="172">
        <v>2120</v>
      </c>
      <c r="C57" s="93">
        <f>SUM(C58:C63)</f>
        <v>-8582.8320000000003</v>
      </c>
      <c r="D57" s="93">
        <f>SUM(D58:D63)</f>
        <v>-9198.4359999999997</v>
      </c>
      <c r="E57" s="93">
        <f>SUM(E58:E63)</f>
        <v>-9435.2999999999993</v>
      </c>
      <c r="F57" s="93">
        <f>SUM(F58:F63)</f>
        <v>-9198.4359999999997</v>
      </c>
      <c r="G57" s="93">
        <f t="shared" si="13"/>
        <v>236.86399999999958</v>
      </c>
      <c r="H57" s="93">
        <f t="shared" si="14"/>
        <v>97.489597575063854</v>
      </c>
    </row>
    <row r="58" spans="1:8" ht="36" customHeight="1">
      <c r="A58" s="128" t="s">
        <v>38</v>
      </c>
      <c r="B58" s="174">
        <v>2121</v>
      </c>
      <c r="C58" s="119" t="s">
        <v>26</v>
      </c>
      <c r="D58" s="119" t="s">
        <v>26</v>
      </c>
      <c r="E58" s="119" t="s">
        <v>26</v>
      </c>
      <c r="F58" s="119" t="s">
        <v>26</v>
      </c>
      <c r="G58" s="120" t="e">
        <f t="shared" si="13"/>
        <v>#VALUE!</v>
      </c>
      <c r="H58" s="120" t="e">
        <f t="shared" si="14"/>
        <v>#VALUE!</v>
      </c>
    </row>
    <row r="59" spans="1:8" ht="33.75" customHeight="1">
      <c r="A59" s="118" t="s">
        <v>14</v>
      </c>
      <c r="B59" s="174">
        <v>2122</v>
      </c>
      <c r="C59" s="119">
        <f>-C46*18/100</f>
        <v>-8582.8320000000003</v>
      </c>
      <c r="D59" s="119">
        <f>-D46*18/100</f>
        <v>-9115.235999999999</v>
      </c>
      <c r="E59" s="119">
        <v>-9335.5</v>
      </c>
      <c r="F59" s="119">
        <f>D59</f>
        <v>-9115.235999999999</v>
      </c>
      <c r="G59" s="119">
        <f t="shared" si="13"/>
        <v>220.26400000000103</v>
      </c>
      <c r="H59" s="119">
        <f>(F59/E59)*100</f>
        <v>97.640576294788701</v>
      </c>
    </row>
    <row r="60" spans="1:8" ht="31.5" customHeight="1">
      <c r="A60" s="118" t="s">
        <v>44</v>
      </c>
      <c r="B60" s="174">
        <v>2123</v>
      </c>
      <c r="C60" s="119"/>
      <c r="D60" s="119">
        <v>-83.2</v>
      </c>
      <c r="E60" s="119">
        <v>-99.8</v>
      </c>
      <c r="F60" s="119">
        <f>D60</f>
        <v>-83.2</v>
      </c>
      <c r="G60" s="120">
        <f t="shared" si="13"/>
        <v>16.599999999999994</v>
      </c>
      <c r="H60" s="120">
        <f t="shared" si="14"/>
        <v>83.36673346693388</v>
      </c>
    </row>
    <row r="61" spans="1:8" ht="31.5" customHeight="1">
      <c r="A61" s="118" t="s">
        <v>45</v>
      </c>
      <c r="B61" s="174">
        <v>2124</v>
      </c>
      <c r="C61" s="119" t="s">
        <v>26</v>
      </c>
      <c r="D61" s="119" t="s">
        <v>26</v>
      </c>
      <c r="E61" s="119" t="s">
        <v>26</v>
      </c>
      <c r="F61" s="119" t="s">
        <v>26</v>
      </c>
      <c r="G61" s="120" t="e">
        <f t="shared" si="13"/>
        <v>#VALUE!</v>
      </c>
      <c r="H61" s="120" t="e">
        <f t="shared" si="14"/>
        <v>#VALUE!</v>
      </c>
    </row>
    <row r="62" spans="1:8" ht="103.5" customHeight="1">
      <c r="A62" s="118" t="s">
        <v>240</v>
      </c>
      <c r="B62" s="174">
        <v>2125</v>
      </c>
      <c r="C62" s="119" t="s">
        <v>26</v>
      </c>
      <c r="D62" s="119" t="s">
        <v>26</v>
      </c>
      <c r="E62" s="119" t="s">
        <v>26</v>
      </c>
      <c r="F62" s="119" t="s">
        <v>26</v>
      </c>
      <c r="G62" s="120" t="e">
        <f t="shared" si="13"/>
        <v>#VALUE!</v>
      </c>
      <c r="H62" s="120" t="e">
        <f t="shared" si="14"/>
        <v>#VALUE!</v>
      </c>
    </row>
    <row r="63" spans="1:8" ht="31.5" customHeight="1">
      <c r="A63" s="118" t="s">
        <v>40</v>
      </c>
      <c r="B63" s="174">
        <v>2126</v>
      </c>
      <c r="C63" s="119" t="s">
        <v>26</v>
      </c>
      <c r="D63" s="119" t="s">
        <v>26</v>
      </c>
      <c r="E63" s="119" t="s">
        <v>26</v>
      </c>
      <c r="F63" s="119" t="s">
        <v>26</v>
      </c>
      <c r="G63" s="120" t="e">
        <f t="shared" si="13"/>
        <v>#VALUE!</v>
      </c>
      <c r="H63" s="120" t="e">
        <f t="shared" si="14"/>
        <v>#VALUE!</v>
      </c>
    </row>
    <row r="64" spans="1:8" ht="48" customHeight="1">
      <c r="A64" s="127" t="s">
        <v>59</v>
      </c>
      <c r="B64" s="172">
        <v>2130</v>
      </c>
      <c r="C64" s="93">
        <f>SUM(C65:C67)</f>
        <v>-10219.1</v>
      </c>
      <c r="D64" s="93">
        <f>SUM(D65:D67)</f>
        <v>-10939.8</v>
      </c>
      <c r="E64" s="93">
        <f>SUM(E65:E67)</f>
        <v>-12051.400000000001</v>
      </c>
      <c r="F64" s="93">
        <f>SUM(F65:F67)</f>
        <v>-10939.8</v>
      </c>
      <c r="G64" s="93">
        <f t="shared" si="13"/>
        <v>1111.6000000000022</v>
      </c>
      <c r="H64" s="93">
        <f t="shared" si="14"/>
        <v>90.776175382113266</v>
      </c>
    </row>
    <row r="65" spans="1:9" ht="33" customHeight="1">
      <c r="A65" s="118" t="s">
        <v>41</v>
      </c>
      <c r="B65" s="174">
        <v>2131</v>
      </c>
      <c r="C65" s="119" t="s">
        <v>26</v>
      </c>
      <c r="D65" s="119" t="s">
        <v>26</v>
      </c>
      <c r="E65" s="119" t="s">
        <v>26</v>
      </c>
      <c r="F65" s="119" t="s">
        <v>26</v>
      </c>
      <c r="G65" s="120" t="e">
        <f t="shared" si="13"/>
        <v>#VALUE!</v>
      </c>
      <c r="H65" s="120" t="e">
        <f t="shared" si="14"/>
        <v>#VALUE!</v>
      </c>
    </row>
    <row r="66" spans="1:9" ht="44.25" customHeight="1">
      <c r="A66" s="118" t="s">
        <v>42</v>
      </c>
      <c r="B66" s="174">
        <v>2132</v>
      </c>
      <c r="C66" s="119">
        <f>-C47</f>
        <v>-10087.5</v>
      </c>
      <c r="D66" s="119">
        <f t="shared" ref="D66:F66" si="15">-D47</f>
        <v>-10703.5</v>
      </c>
      <c r="E66" s="119">
        <f t="shared" si="15"/>
        <v>-11927.2</v>
      </c>
      <c r="F66" s="119">
        <f t="shared" si="15"/>
        <v>-10703.5</v>
      </c>
      <c r="G66" s="119">
        <f>F66-E66</f>
        <v>1223.7000000000007</v>
      </c>
      <c r="H66" s="119">
        <f t="shared" si="14"/>
        <v>89.740257562546105</v>
      </c>
    </row>
    <row r="67" spans="1:9" ht="35.25" customHeight="1">
      <c r="A67" s="118" t="s">
        <v>43</v>
      </c>
      <c r="B67" s="174">
        <v>2133</v>
      </c>
      <c r="C67" s="119">
        <v>-131.6</v>
      </c>
      <c r="D67" s="119">
        <v>-236.3</v>
      </c>
      <c r="E67" s="119">
        <v>-124.2</v>
      </c>
      <c r="F67" s="119">
        <f>D67</f>
        <v>-236.3</v>
      </c>
      <c r="G67" s="119">
        <f t="shared" si="13"/>
        <v>-112.10000000000001</v>
      </c>
      <c r="H67" s="119">
        <f t="shared" si="14"/>
        <v>190.25764895330113</v>
      </c>
      <c r="I67" s="105" t="s">
        <v>210</v>
      </c>
    </row>
    <row r="68" spans="1:9" ht="30.75" customHeight="1">
      <c r="A68" s="129" t="s">
        <v>55</v>
      </c>
      <c r="B68" s="172">
        <v>2200</v>
      </c>
      <c r="C68" s="93">
        <f>SUM(C52+C57+C64)</f>
        <v>-19589.567999999999</v>
      </c>
      <c r="D68" s="93">
        <f>SUM(D52+D57+D64)</f>
        <v>-22789.036</v>
      </c>
      <c r="E68" s="93">
        <f>SUM(E52+E57+E64)</f>
        <v>-24149.9</v>
      </c>
      <c r="F68" s="93">
        <f>SUM(F52+F57+F64)</f>
        <v>-22789.036</v>
      </c>
      <c r="G68" s="93">
        <f t="shared" si="13"/>
        <v>1360.8640000000014</v>
      </c>
      <c r="H68" s="93">
        <f t="shared" si="14"/>
        <v>94.364929047325248</v>
      </c>
    </row>
    <row r="69" spans="1:9" ht="33" customHeight="1">
      <c r="A69" s="224" t="s">
        <v>100</v>
      </c>
      <c r="B69" s="224"/>
      <c r="C69" s="224"/>
      <c r="D69" s="224"/>
      <c r="E69" s="224"/>
      <c r="F69" s="224"/>
      <c r="G69" s="224"/>
      <c r="H69" s="224"/>
      <c r="I69" s="123"/>
    </row>
    <row r="70" spans="1:9" ht="27.75" customHeight="1">
      <c r="A70" s="115" t="s">
        <v>19</v>
      </c>
      <c r="B70" s="116">
        <v>4000</v>
      </c>
      <c r="C70" s="93">
        <f>SUM(C71:C77)</f>
        <v>-17862.8</v>
      </c>
      <c r="D70" s="93">
        <f>SUM(D71:D77)</f>
        <v>-13211.799999999997</v>
      </c>
      <c r="E70" s="93">
        <f>SUM(E71:E77)</f>
        <v>-3000.6</v>
      </c>
      <c r="F70" s="93">
        <f>SUM(F71:F77)</f>
        <v>-13211.799999999997</v>
      </c>
      <c r="G70" s="93">
        <f>F70-E70</f>
        <v>-10211.199999999997</v>
      </c>
      <c r="H70" s="93">
        <f>(F70/E70)*100</f>
        <v>440.30527227887751</v>
      </c>
    </row>
    <row r="71" spans="1:9" ht="37.5" customHeight="1">
      <c r="A71" s="118" t="s">
        <v>62</v>
      </c>
      <c r="B71" s="173">
        <v>4010</v>
      </c>
      <c r="C71" s="119" t="s">
        <v>26</v>
      </c>
      <c r="D71" s="119" t="s">
        <v>26</v>
      </c>
      <c r="E71" s="119" t="s">
        <v>26</v>
      </c>
      <c r="F71" s="119" t="s">
        <v>26</v>
      </c>
      <c r="G71" s="120" t="e">
        <f t="shared" ref="G71:G77" si="16">F71-E71</f>
        <v>#VALUE!</v>
      </c>
      <c r="H71" s="120" t="e">
        <f t="shared" ref="H71:H77" si="17">(F71/E71)*100</f>
        <v>#VALUE!</v>
      </c>
    </row>
    <row r="72" spans="1:9" ht="48.75" customHeight="1">
      <c r="A72" s="118" t="s">
        <v>127</v>
      </c>
      <c r="B72" s="173">
        <v>4020</v>
      </c>
      <c r="C72" s="119">
        <f>-'Розшифровка кап'!C6</f>
        <v>-7034.0999999999985</v>
      </c>
      <c r="D72" s="119">
        <f>F72</f>
        <v>-10664.699999999999</v>
      </c>
      <c r="E72" s="119">
        <f>-'Розшифровка кап'!D6</f>
        <v>-3000.6</v>
      </c>
      <c r="F72" s="119">
        <f>-'Розшифровка кап'!E6</f>
        <v>-10664.699999999999</v>
      </c>
      <c r="G72" s="119">
        <f t="shared" si="16"/>
        <v>-7664.0999999999985</v>
      </c>
      <c r="H72" s="120">
        <f t="shared" si="17"/>
        <v>355.4189162167566</v>
      </c>
    </row>
    <row r="73" spans="1:9" ht="48.75" customHeight="1">
      <c r="A73" s="118" t="s">
        <v>71</v>
      </c>
      <c r="B73" s="173">
        <v>4030</v>
      </c>
      <c r="C73" s="119">
        <f>-'Розшифровка кап'!C61</f>
        <v>-218.70000000000002</v>
      </c>
      <c r="D73" s="119">
        <f>F73</f>
        <v>-786.3</v>
      </c>
      <c r="E73" s="119">
        <f>-'Розшифровка кап'!D61</f>
        <v>0</v>
      </c>
      <c r="F73" s="119">
        <f>-'Розшифровка кап'!E61</f>
        <v>-786.3</v>
      </c>
      <c r="G73" s="119">
        <f t="shared" si="16"/>
        <v>-786.3</v>
      </c>
      <c r="H73" s="120" t="e">
        <f t="shared" si="17"/>
        <v>#DIV/0!</v>
      </c>
    </row>
    <row r="74" spans="1:9" ht="49.5" customHeight="1">
      <c r="A74" s="118" t="s">
        <v>128</v>
      </c>
      <c r="B74" s="173">
        <v>4040</v>
      </c>
      <c r="C74" s="119" t="s">
        <v>26</v>
      </c>
      <c r="D74" s="119" t="s">
        <v>26</v>
      </c>
      <c r="E74" s="119" t="s">
        <v>26</v>
      </c>
      <c r="F74" s="119" t="s">
        <v>26</v>
      </c>
      <c r="G74" s="120" t="e">
        <f t="shared" si="16"/>
        <v>#VALUE!</v>
      </c>
      <c r="H74" s="120" t="e">
        <f t="shared" si="17"/>
        <v>#VALUE!</v>
      </c>
    </row>
    <row r="75" spans="1:9" ht="73.5" customHeight="1">
      <c r="A75" s="118" t="s">
        <v>63</v>
      </c>
      <c r="B75" s="173">
        <v>4050</v>
      </c>
      <c r="C75" s="119">
        <f>-'Розшифровка кап'!C189</f>
        <v>-1649.8000000000002</v>
      </c>
      <c r="D75" s="119" t="s">
        <v>26</v>
      </c>
      <c r="E75" s="119" t="s">
        <v>26</v>
      </c>
      <c r="F75" s="119" t="s">
        <v>26</v>
      </c>
      <c r="G75" s="120" t="e">
        <f t="shared" si="16"/>
        <v>#VALUE!</v>
      </c>
      <c r="H75" s="120" t="e">
        <f t="shared" si="17"/>
        <v>#VALUE!</v>
      </c>
    </row>
    <row r="76" spans="1:9" ht="36.75" customHeight="1">
      <c r="A76" s="118" t="s">
        <v>64</v>
      </c>
      <c r="B76" s="173">
        <v>4060</v>
      </c>
      <c r="C76" s="119">
        <f>-'Розшифровка кап'!C192</f>
        <v>-8960.2000000000007</v>
      </c>
      <c r="D76" s="119">
        <f>F76</f>
        <v>-1760.8</v>
      </c>
      <c r="E76" s="119">
        <f>-'Розшифровка кап'!D192</f>
        <v>0</v>
      </c>
      <c r="F76" s="119">
        <f>-'Розшифровка кап'!E192</f>
        <v>-1760.8</v>
      </c>
      <c r="G76" s="120">
        <f t="shared" si="16"/>
        <v>-1760.8</v>
      </c>
      <c r="H76" s="120" t="e">
        <f t="shared" si="17"/>
        <v>#DIV/0!</v>
      </c>
    </row>
    <row r="77" spans="1:9" ht="39.75" customHeight="1">
      <c r="A77" s="118" t="s">
        <v>50</v>
      </c>
      <c r="B77" s="173">
        <v>4070</v>
      </c>
      <c r="C77" s="119" t="s">
        <v>26</v>
      </c>
      <c r="D77" s="119" t="s">
        <v>26</v>
      </c>
      <c r="E77" s="119" t="s">
        <v>26</v>
      </c>
      <c r="F77" s="119" t="s">
        <v>26</v>
      </c>
      <c r="G77" s="120" t="e">
        <f t="shared" si="16"/>
        <v>#VALUE!</v>
      </c>
      <c r="H77" s="120" t="e">
        <f t="shared" si="17"/>
        <v>#VALUE!</v>
      </c>
    </row>
    <row r="78" spans="1:9" ht="36.75" customHeight="1">
      <c r="A78" s="223" t="s">
        <v>101</v>
      </c>
      <c r="B78" s="223"/>
      <c r="C78" s="223"/>
      <c r="D78" s="223"/>
      <c r="E78" s="223"/>
      <c r="F78" s="223"/>
      <c r="G78" s="223"/>
      <c r="H78" s="223"/>
    </row>
    <row r="79" spans="1:9" ht="63" customHeight="1">
      <c r="A79" s="177"/>
      <c r="B79" s="177"/>
      <c r="C79" s="217" t="s">
        <v>121</v>
      </c>
      <c r="D79" s="217"/>
      <c r="E79" s="216" t="s">
        <v>390</v>
      </c>
      <c r="F79" s="216"/>
      <c r="G79" s="216"/>
      <c r="H79" s="216"/>
    </row>
    <row r="80" spans="1:9" ht="45" customHeight="1">
      <c r="A80" s="177"/>
      <c r="B80" s="177"/>
      <c r="C80" s="174" t="s">
        <v>442</v>
      </c>
      <c r="D80" s="174" t="s">
        <v>389</v>
      </c>
      <c r="E80" s="114" t="s">
        <v>107</v>
      </c>
      <c r="F80" s="114" t="s">
        <v>108</v>
      </c>
      <c r="G80" s="114" t="s">
        <v>109</v>
      </c>
      <c r="H80" s="114" t="s">
        <v>110</v>
      </c>
    </row>
    <row r="81" spans="1:18" s="175" customFormat="1" ht="86.25" customHeight="1">
      <c r="A81" s="129" t="s">
        <v>129</v>
      </c>
      <c r="B81" s="130" t="s">
        <v>30</v>
      </c>
      <c r="C81" s="131">
        <f>SUM(C82:C84)</f>
        <v>530</v>
      </c>
      <c r="D81" s="131">
        <f>SUM(D82:D84)</f>
        <v>512</v>
      </c>
      <c r="E81" s="131">
        <f>SUM(E82:E84)</f>
        <v>547</v>
      </c>
      <c r="F81" s="131">
        <f>SUM(F82:F84)</f>
        <v>512</v>
      </c>
      <c r="G81" s="132" t="s">
        <v>130</v>
      </c>
      <c r="H81" s="126" t="s">
        <v>130</v>
      </c>
      <c r="J81" s="133"/>
    </row>
    <row r="82" spans="1:18" ht="27.75" customHeight="1">
      <c r="A82" s="121" t="s">
        <v>21</v>
      </c>
      <c r="B82" s="173" t="s">
        <v>31</v>
      </c>
      <c r="C82" s="134">
        <v>1</v>
      </c>
      <c r="D82" s="134">
        <v>1</v>
      </c>
      <c r="E82" s="134">
        <v>1</v>
      </c>
      <c r="F82" s="134">
        <v>1</v>
      </c>
      <c r="G82" s="135" t="s">
        <v>130</v>
      </c>
      <c r="H82" s="124" t="s">
        <v>130</v>
      </c>
      <c r="K82" s="117"/>
      <c r="L82" s="117"/>
    </row>
    <row r="83" spans="1:18" ht="27.75" customHeight="1">
      <c r="A83" s="121" t="s">
        <v>24</v>
      </c>
      <c r="B83" s="173" t="s">
        <v>32</v>
      </c>
      <c r="C83" s="134">
        <v>51</v>
      </c>
      <c r="D83" s="134">
        <v>51</v>
      </c>
      <c r="E83" s="134">
        <v>51</v>
      </c>
      <c r="F83" s="134">
        <v>51</v>
      </c>
      <c r="G83" s="135" t="s">
        <v>130</v>
      </c>
      <c r="H83" s="124" t="s">
        <v>130</v>
      </c>
      <c r="J83" s="117"/>
      <c r="K83" s="117"/>
      <c r="L83" s="136"/>
    </row>
    <row r="84" spans="1:18" ht="27.75" customHeight="1">
      <c r="A84" s="121" t="s">
        <v>22</v>
      </c>
      <c r="B84" s="173" t="s">
        <v>33</v>
      </c>
      <c r="C84" s="134">
        <v>478</v>
      </c>
      <c r="D84" s="134">
        <v>460</v>
      </c>
      <c r="E84" s="134">
        <v>495</v>
      </c>
      <c r="F84" s="134">
        <v>460</v>
      </c>
      <c r="G84" s="135" t="s">
        <v>130</v>
      </c>
      <c r="H84" s="124" t="s">
        <v>130</v>
      </c>
      <c r="J84" s="117"/>
      <c r="K84" s="117"/>
      <c r="L84" s="136"/>
      <c r="M84" s="137"/>
      <c r="N84" s="138"/>
      <c r="O84" s="139"/>
      <c r="P84" s="139"/>
      <c r="Q84" s="139"/>
      <c r="R84" s="139"/>
    </row>
    <row r="85" spans="1:18" ht="27.75" customHeight="1">
      <c r="A85" s="115" t="s">
        <v>72</v>
      </c>
      <c r="B85" s="116" t="s">
        <v>34</v>
      </c>
      <c r="C85" s="140">
        <f>SUM(C86:C88)</f>
        <v>47682.400000000001</v>
      </c>
      <c r="D85" s="140">
        <f>SUM(D86:D88)</f>
        <v>50640.2</v>
      </c>
      <c r="E85" s="140">
        <f>SUM(E86:E88)</f>
        <v>51864.3</v>
      </c>
      <c r="F85" s="140">
        <f>SUM(F86:F88)</f>
        <v>50640.2</v>
      </c>
      <c r="G85" s="126" t="s">
        <v>130</v>
      </c>
      <c r="H85" s="126" t="s">
        <v>130</v>
      </c>
      <c r="I85" s="117"/>
      <c r="J85" s="117"/>
      <c r="K85" s="117"/>
      <c r="M85" s="141"/>
      <c r="N85" s="142"/>
      <c r="O85" s="143"/>
      <c r="P85" s="143"/>
      <c r="Q85" s="143"/>
      <c r="R85" s="143"/>
    </row>
    <row r="86" spans="1:18" ht="27.75" customHeight="1">
      <c r="A86" s="121" t="s">
        <v>21</v>
      </c>
      <c r="B86" s="173">
        <v>8011</v>
      </c>
      <c r="C86" s="186">
        <v>328.7</v>
      </c>
      <c r="D86" s="144">
        <v>417.2</v>
      </c>
      <c r="E86" s="187">
        <v>417.2</v>
      </c>
      <c r="F86" s="144">
        <f>D86</f>
        <v>417.2</v>
      </c>
      <c r="G86" s="124" t="s">
        <v>130</v>
      </c>
      <c r="H86" s="124" t="s">
        <v>130</v>
      </c>
      <c r="J86" s="117"/>
      <c r="K86" s="117"/>
      <c r="M86" s="141"/>
      <c r="N86" s="142"/>
      <c r="O86" s="143"/>
      <c r="P86" s="143"/>
      <c r="Q86" s="143"/>
      <c r="R86" s="143"/>
    </row>
    <row r="87" spans="1:18" ht="27.75" customHeight="1">
      <c r="A87" s="121" t="s">
        <v>24</v>
      </c>
      <c r="B87" s="173">
        <v>8012</v>
      </c>
      <c r="C87" s="186">
        <v>4486.2</v>
      </c>
      <c r="D87" s="144">
        <v>3654.3</v>
      </c>
      <c r="E87" s="187">
        <v>3654.3</v>
      </c>
      <c r="F87" s="144">
        <f>D87</f>
        <v>3654.3</v>
      </c>
      <c r="G87" s="124" t="s">
        <v>130</v>
      </c>
      <c r="H87" s="124" t="s">
        <v>130</v>
      </c>
      <c r="J87" s="117"/>
      <c r="K87" s="117"/>
      <c r="M87" s="141"/>
      <c r="N87" s="142"/>
      <c r="O87" s="143"/>
      <c r="P87" s="143"/>
      <c r="Q87" s="143"/>
      <c r="R87" s="143"/>
    </row>
    <row r="88" spans="1:18" ht="27.75" customHeight="1">
      <c r="A88" s="121" t="s">
        <v>22</v>
      </c>
      <c r="B88" s="173">
        <v>8013</v>
      </c>
      <c r="C88" s="186">
        <v>42867.5</v>
      </c>
      <c r="D88" s="144">
        <v>46568.7</v>
      </c>
      <c r="E88" s="187">
        <v>47792.800000000003</v>
      </c>
      <c r="F88" s="144">
        <f>D88</f>
        <v>46568.7</v>
      </c>
      <c r="G88" s="124" t="s">
        <v>130</v>
      </c>
      <c r="H88" s="124" t="s">
        <v>130</v>
      </c>
      <c r="I88" s="123"/>
      <c r="J88" s="117"/>
      <c r="K88" s="117"/>
      <c r="M88" s="145"/>
      <c r="N88" s="146"/>
      <c r="O88" s="147"/>
      <c r="P88" s="147"/>
      <c r="Q88" s="147"/>
      <c r="R88" s="147"/>
    </row>
    <row r="89" spans="1:18" ht="27.75" customHeight="1">
      <c r="A89" s="115" t="s">
        <v>2</v>
      </c>
      <c r="B89" s="116">
        <v>8020</v>
      </c>
      <c r="C89" s="140">
        <f>C46</f>
        <v>47682.400000000001</v>
      </c>
      <c r="D89" s="140">
        <f>D46</f>
        <v>50640.2</v>
      </c>
      <c r="E89" s="188">
        <f>E46</f>
        <v>51864.299999999996</v>
      </c>
      <c r="F89" s="140">
        <f>F46</f>
        <v>50640.2</v>
      </c>
      <c r="G89" s="126" t="s">
        <v>130</v>
      </c>
      <c r="H89" s="126" t="s">
        <v>130</v>
      </c>
      <c r="I89" s="123"/>
      <c r="J89" s="117"/>
      <c r="K89" s="117"/>
      <c r="M89" s="141"/>
      <c r="N89" s="142"/>
      <c r="O89" s="148"/>
      <c r="P89" s="148"/>
      <c r="Q89" s="148"/>
      <c r="R89" s="148"/>
    </row>
    <row r="90" spans="1:18" ht="27.75" customHeight="1">
      <c r="A90" s="121" t="s">
        <v>21</v>
      </c>
      <c r="B90" s="173">
        <v>8021</v>
      </c>
      <c r="C90" s="186">
        <f t="shared" ref="C90:E92" si="18">C86</f>
        <v>328.7</v>
      </c>
      <c r="D90" s="186">
        <f t="shared" ref="D90" si="19">D86</f>
        <v>417.2</v>
      </c>
      <c r="E90" s="187">
        <f t="shared" si="18"/>
        <v>417.2</v>
      </c>
      <c r="F90" s="144">
        <f>D90</f>
        <v>417.2</v>
      </c>
      <c r="G90" s="124" t="s">
        <v>130</v>
      </c>
      <c r="H90" s="124" t="s">
        <v>130</v>
      </c>
      <c r="I90" s="123"/>
      <c r="J90" s="117"/>
      <c r="K90" s="117"/>
      <c r="M90" s="141"/>
      <c r="N90" s="142"/>
      <c r="O90" s="148"/>
      <c r="P90" s="148"/>
      <c r="Q90" s="148"/>
      <c r="R90" s="148"/>
    </row>
    <row r="91" spans="1:18" ht="27.75" customHeight="1">
      <c r="A91" s="121" t="s">
        <v>24</v>
      </c>
      <c r="B91" s="173">
        <v>8022</v>
      </c>
      <c r="C91" s="186">
        <f t="shared" si="18"/>
        <v>4486.2</v>
      </c>
      <c r="D91" s="186">
        <f t="shared" ref="D91" si="20">D87</f>
        <v>3654.3</v>
      </c>
      <c r="E91" s="187">
        <f t="shared" si="18"/>
        <v>3654.3</v>
      </c>
      <c r="F91" s="144">
        <f>D91</f>
        <v>3654.3</v>
      </c>
      <c r="G91" s="124" t="s">
        <v>130</v>
      </c>
      <c r="H91" s="124" t="s">
        <v>130</v>
      </c>
      <c r="J91" s="117"/>
      <c r="K91" s="136"/>
      <c r="M91" s="141"/>
      <c r="N91" s="142"/>
      <c r="O91" s="148"/>
      <c r="P91" s="148"/>
      <c r="Q91" s="148"/>
      <c r="R91" s="148"/>
    </row>
    <row r="92" spans="1:18" ht="27.75" customHeight="1">
      <c r="A92" s="121" t="s">
        <v>22</v>
      </c>
      <c r="B92" s="173">
        <v>8023</v>
      </c>
      <c r="C92" s="186">
        <f t="shared" si="18"/>
        <v>42867.5</v>
      </c>
      <c r="D92" s="186">
        <f t="shared" ref="D92" si="21">D88</f>
        <v>46568.7</v>
      </c>
      <c r="E92" s="187">
        <f t="shared" si="18"/>
        <v>47792.800000000003</v>
      </c>
      <c r="F92" s="144">
        <f>D92</f>
        <v>46568.7</v>
      </c>
      <c r="G92" s="124" t="s">
        <v>130</v>
      </c>
      <c r="H92" s="124" t="s">
        <v>130</v>
      </c>
      <c r="J92" s="117"/>
      <c r="M92" s="145"/>
      <c r="N92" s="146"/>
      <c r="O92" s="147"/>
      <c r="P92" s="147"/>
      <c r="Q92" s="147"/>
      <c r="R92" s="147"/>
    </row>
    <row r="93" spans="1:18" s="175" customFormat="1" ht="66" customHeight="1">
      <c r="A93" s="129" t="s">
        <v>49</v>
      </c>
      <c r="B93" s="130" t="s">
        <v>73</v>
      </c>
      <c r="C93" s="131">
        <f t="shared" ref="C93:D96" si="22">(C89/C81)/6*1000</f>
        <v>14994.465408805032</v>
      </c>
      <c r="D93" s="131">
        <f t="shared" si="22"/>
        <v>16484.440104166664</v>
      </c>
      <c r="E93" s="131">
        <f t="shared" ref="E93:F96" si="23">(E89/E81)/6*1000</f>
        <v>15802.650822669102</v>
      </c>
      <c r="F93" s="131">
        <f t="shared" si="23"/>
        <v>16484.440104166664</v>
      </c>
      <c r="G93" s="132" t="s">
        <v>130</v>
      </c>
      <c r="H93" s="126" t="s">
        <v>130</v>
      </c>
      <c r="I93" s="149"/>
      <c r="M93" s="141"/>
      <c r="N93" s="142"/>
      <c r="O93" s="148"/>
      <c r="P93" s="148"/>
      <c r="Q93" s="148"/>
      <c r="R93" s="148"/>
    </row>
    <row r="94" spans="1:18" ht="27.75" customHeight="1">
      <c r="A94" s="121" t="s">
        <v>21</v>
      </c>
      <c r="B94" s="173">
        <v>8031</v>
      </c>
      <c r="C94" s="134">
        <f t="shared" si="22"/>
        <v>54783.333333333328</v>
      </c>
      <c r="D94" s="134">
        <f t="shared" si="22"/>
        <v>69533.333333333328</v>
      </c>
      <c r="E94" s="134">
        <f t="shared" si="23"/>
        <v>69533.333333333328</v>
      </c>
      <c r="F94" s="134">
        <f t="shared" si="23"/>
        <v>69533.333333333328</v>
      </c>
      <c r="G94" s="135" t="s">
        <v>130</v>
      </c>
      <c r="H94" s="124" t="s">
        <v>130</v>
      </c>
      <c r="M94" s="141"/>
      <c r="N94" s="142"/>
      <c r="O94" s="148"/>
      <c r="P94" s="148"/>
      <c r="Q94" s="148"/>
      <c r="R94" s="148"/>
    </row>
    <row r="95" spans="1:18" ht="27.75" customHeight="1">
      <c r="A95" s="121" t="s">
        <v>24</v>
      </c>
      <c r="B95" s="173">
        <v>8032</v>
      </c>
      <c r="C95" s="134">
        <f t="shared" si="22"/>
        <v>14660.784313725488</v>
      </c>
      <c r="D95" s="134">
        <f t="shared" si="22"/>
        <v>11942.1568627451</v>
      </c>
      <c r="E95" s="134">
        <f t="shared" si="23"/>
        <v>11942.1568627451</v>
      </c>
      <c r="F95" s="134">
        <f t="shared" si="23"/>
        <v>11942.1568627451</v>
      </c>
      <c r="G95" s="135" t="s">
        <v>130</v>
      </c>
      <c r="H95" s="124" t="s">
        <v>130</v>
      </c>
      <c r="M95" s="141"/>
      <c r="N95" s="142"/>
      <c r="O95" s="148"/>
      <c r="P95" s="148"/>
      <c r="Q95" s="148"/>
      <c r="R95" s="148"/>
    </row>
    <row r="96" spans="1:18" ht="27.75" customHeight="1">
      <c r="A96" s="121" t="s">
        <v>22</v>
      </c>
      <c r="B96" s="173">
        <v>8033</v>
      </c>
      <c r="C96" s="134">
        <f t="shared" si="22"/>
        <v>14946.827057182707</v>
      </c>
      <c r="D96" s="134">
        <f t="shared" si="22"/>
        <v>16872.717391304344</v>
      </c>
      <c r="E96" s="134">
        <f t="shared" si="23"/>
        <v>16091.851851851854</v>
      </c>
      <c r="F96" s="134">
        <f t="shared" si="23"/>
        <v>16872.717391304344</v>
      </c>
      <c r="G96" s="135" t="s">
        <v>130</v>
      </c>
      <c r="H96" s="124" t="s">
        <v>130</v>
      </c>
      <c r="M96" s="137"/>
      <c r="N96" s="138"/>
      <c r="O96" s="139"/>
      <c r="P96" s="139"/>
      <c r="Q96" s="139"/>
      <c r="R96" s="139"/>
    </row>
    <row r="97" spans="1:18" s="175" customFormat="1">
      <c r="A97" s="150"/>
      <c r="C97" s="189"/>
      <c r="D97" s="151"/>
      <c r="E97" s="152"/>
      <c r="F97" s="152"/>
      <c r="G97" s="152"/>
      <c r="H97" s="152"/>
      <c r="M97" s="141"/>
      <c r="N97" s="142"/>
      <c r="O97" s="143"/>
      <c r="P97" s="143"/>
      <c r="Q97" s="143"/>
      <c r="R97" s="143"/>
    </row>
    <row r="98" spans="1:18" s="175" customFormat="1">
      <c r="A98" s="150"/>
      <c r="C98" s="189"/>
      <c r="D98" s="151"/>
      <c r="E98" s="152"/>
      <c r="F98" s="152"/>
      <c r="G98" s="152"/>
      <c r="H98" s="152"/>
      <c r="M98" s="141"/>
      <c r="N98" s="142"/>
      <c r="O98" s="143"/>
      <c r="P98" s="143"/>
      <c r="Q98" s="143"/>
      <c r="R98" s="143"/>
    </row>
    <row r="99" spans="1:18" s="175" customFormat="1" ht="28.5" customHeight="1">
      <c r="A99" s="179" t="s">
        <v>211</v>
      </c>
      <c r="B99" s="153"/>
      <c r="C99" s="221"/>
      <c r="D99" s="222"/>
      <c r="E99" s="154"/>
      <c r="F99" s="154"/>
      <c r="G99" s="225" t="s">
        <v>186</v>
      </c>
      <c r="H99" s="225"/>
      <c r="I99" s="28"/>
      <c r="M99" s="141"/>
      <c r="N99" s="142"/>
      <c r="O99" s="143"/>
      <c r="P99" s="143"/>
      <c r="Q99" s="143"/>
      <c r="R99" s="143"/>
    </row>
    <row r="100" spans="1:18" s="175" customFormat="1">
      <c r="A100" s="175" t="s">
        <v>10</v>
      </c>
      <c r="B100" s="105"/>
      <c r="C100" s="219" t="s">
        <v>11</v>
      </c>
      <c r="D100" s="219"/>
      <c r="E100" s="176"/>
      <c r="F100" s="176"/>
      <c r="G100" s="220" t="s">
        <v>16</v>
      </c>
      <c r="H100" s="220"/>
    </row>
    <row r="101" spans="1:18" s="175" customFormat="1">
      <c r="A101" s="155"/>
      <c r="E101" s="105"/>
      <c r="F101" s="105"/>
      <c r="G101" s="105"/>
      <c r="H101" s="105"/>
    </row>
    <row r="102" spans="1:18" s="175" customFormat="1">
      <c r="A102" s="155"/>
      <c r="E102" s="105"/>
      <c r="F102" s="105"/>
      <c r="G102" s="105"/>
      <c r="H102" s="105"/>
    </row>
    <row r="103" spans="1:18" s="175" customFormat="1">
      <c r="A103" s="155"/>
      <c r="E103" s="105"/>
      <c r="F103" s="105"/>
      <c r="G103" s="105"/>
      <c r="H103" s="105"/>
    </row>
    <row r="104" spans="1:18" s="175" customFormat="1">
      <c r="A104" s="155"/>
      <c r="E104" s="105"/>
      <c r="F104" s="105"/>
      <c r="G104" s="105"/>
      <c r="H104" s="105"/>
    </row>
    <row r="105" spans="1:18" s="175" customFormat="1">
      <c r="A105" s="155"/>
      <c r="E105" s="105"/>
      <c r="F105" s="105"/>
      <c r="G105" s="105"/>
      <c r="H105" s="105"/>
    </row>
    <row r="106" spans="1:18" s="175" customFormat="1">
      <c r="A106" s="155"/>
      <c r="E106" s="105"/>
      <c r="F106" s="105"/>
      <c r="G106" s="105"/>
      <c r="H106" s="105"/>
    </row>
    <row r="107" spans="1:18" s="175" customFormat="1">
      <c r="A107" s="155"/>
      <c r="E107" s="105"/>
      <c r="F107" s="105"/>
      <c r="G107" s="105"/>
      <c r="H107" s="105"/>
    </row>
    <row r="108" spans="1:18" s="175" customFormat="1">
      <c r="A108" s="155"/>
      <c r="E108" s="105"/>
      <c r="F108" s="105"/>
      <c r="G108" s="105"/>
      <c r="H108" s="105"/>
    </row>
    <row r="109" spans="1:18" s="175" customFormat="1">
      <c r="A109" s="155"/>
      <c r="E109" s="105"/>
      <c r="F109" s="105"/>
      <c r="G109" s="105"/>
      <c r="H109" s="105"/>
    </row>
    <row r="110" spans="1:18" s="175" customFormat="1">
      <c r="A110" s="155"/>
      <c r="E110" s="105"/>
      <c r="F110" s="105"/>
      <c r="G110" s="105"/>
      <c r="H110" s="105"/>
    </row>
    <row r="111" spans="1:18" s="175" customFormat="1">
      <c r="A111" s="155"/>
      <c r="E111" s="105"/>
      <c r="F111" s="105"/>
      <c r="G111" s="105"/>
      <c r="H111" s="105"/>
    </row>
    <row r="112" spans="1:18" s="175" customFormat="1">
      <c r="A112" s="155"/>
      <c r="E112" s="105"/>
      <c r="F112" s="105"/>
      <c r="G112" s="105"/>
      <c r="H112" s="105"/>
    </row>
    <row r="113" spans="1:8" s="175" customFormat="1">
      <c r="A113" s="155"/>
      <c r="E113" s="105"/>
      <c r="F113" s="105"/>
      <c r="G113" s="105"/>
      <c r="H113" s="105"/>
    </row>
    <row r="114" spans="1:8" s="175" customFormat="1">
      <c r="A114" s="155"/>
      <c r="E114" s="105"/>
      <c r="F114" s="105"/>
      <c r="G114" s="105"/>
      <c r="H114" s="105"/>
    </row>
    <row r="115" spans="1:8" s="175" customFormat="1">
      <c r="A115" s="155"/>
      <c r="E115" s="105"/>
      <c r="F115" s="105"/>
      <c r="G115" s="105"/>
      <c r="H115" s="105"/>
    </row>
    <row r="116" spans="1:8" s="175" customFormat="1">
      <c r="A116" s="155"/>
      <c r="E116" s="105"/>
      <c r="F116" s="105"/>
      <c r="G116" s="105"/>
      <c r="H116" s="105"/>
    </row>
    <row r="117" spans="1:8" s="175" customFormat="1">
      <c r="A117" s="155"/>
      <c r="E117" s="105"/>
      <c r="F117" s="105"/>
      <c r="G117" s="105"/>
      <c r="H117" s="105"/>
    </row>
    <row r="118" spans="1:8" s="175" customFormat="1">
      <c r="A118" s="155"/>
      <c r="E118" s="105"/>
      <c r="F118" s="105"/>
      <c r="G118" s="105"/>
      <c r="H118" s="105"/>
    </row>
    <row r="119" spans="1:8" s="175" customFormat="1">
      <c r="A119" s="155"/>
      <c r="E119" s="105"/>
      <c r="F119" s="105"/>
      <c r="G119" s="105"/>
      <c r="H119" s="105"/>
    </row>
    <row r="120" spans="1:8" s="175" customFormat="1">
      <c r="A120" s="155"/>
      <c r="E120" s="105"/>
      <c r="F120" s="105"/>
      <c r="G120" s="105"/>
      <c r="H120" s="105"/>
    </row>
    <row r="121" spans="1:8" s="175" customFormat="1">
      <c r="A121" s="155"/>
      <c r="E121" s="105"/>
      <c r="F121" s="105"/>
      <c r="G121" s="105"/>
      <c r="H121" s="105"/>
    </row>
    <row r="122" spans="1:8" s="175" customFormat="1">
      <c r="A122" s="155"/>
      <c r="E122" s="105"/>
      <c r="F122" s="105"/>
      <c r="G122" s="105"/>
      <c r="H122" s="105"/>
    </row>
    <row r="123" spans="1:8" s="175" customFormat="1">
      <c r="A123" s="155"/>
      <c r="E123" s="105"/>
      <c r="F123" s="105"/>
      <c r="G123" s="105"/>
      <c r="H123" s="105"/>
    </row>
    <row r="124" spans="1:8" s="175" customFormat="1">
      <c r="A124" s="155"/>
      <c r="E124" s="105"/>
      <c r="F124" s="105"/>
      <c r="G124" s="105"/>
      <c r="H124" s="105"/>
    </row>
    <row r="125" spans="1:8" s="175" customFormat="1">
      <c r="A125" s="155"/>
      <c r="E125" s="105"/>
      <c r="F125" s="105"/>
      <c r="G125" s="105"/>
      <c r="H125" s="105"/>
    </row>
    <row r="126" spans="1:8" s="175" customFormat="1">
      <c r="A126" s="155"/>
      <c r="E126" s="105"/>
      <c r="F126" s="105"/>
      <c r="G126" s="105"/>
      <c r="H126" s="105"/>
    </row>
    <row r="127" spans="1:8" s="175" customFormat="1">
      <c r="A127" s="155"/>
      <c r="E127" s="105"/>
      <c r="F127" s="105"/>
      <c r="G127" s="105"/>
      <c r="H127" s="105"/>
    </row>
    <row r="128" spans="1:8" s="175" customFormat="1">
      <c r="A128" s="155"/>
      <c r="E128" s="105"/>
      <c r="F128" s="105"/>
      <c r="G128" s="105"/>
      <c r="H128" s="105"/>
    </row>
    <row r="129" spans="1:8" s="175" customFormat="1">
      <c r="A129" s="155"/>
      <c r="E129" s="105"/>
      <c r="F129" s="105"/>
      <c r="G129" s="105"/>
      <c r="H129" s="105"/>
    </row>
    <row r="130" spans="1:8" s="175" customFormat="1">
      <c r="A130" s="155"/>
      <c r="E130" s="105"/>
      <c r="F130" s="105"/>
      <c r="G130" s="105"/>
      <c r="H130" s="105"/>
    </row>
    <row r="131" spans="1:8" s="175" customFormat="1">
      <c r="A131" s="155"/>
      <c r="E131" s="105"/>
      <c r="F131" s="105"/>
      <c r="G131" s="105"/>
      <c r="H131" s="105"/>
    </row>
    <row r="132" spans="1:8" s="175" customFormat="1">
      <c r="A132" s="155"/>
      <c r="E132" s="105"/>
      <c r="F132" s="105"/>
      <c r="G132" s="105"/>
      <c r="H132" s="105"/>
    </row>
    <row r="133" spans="1:8" s="175" customFormat="1">
      <c r="A133" s="155"/>
      <c r="E133" s="105"/>
      <c r="F133" s="105"/>
      <c r="G133" s="105"/>
      <c r="H133" s="105"/>
    </row>
    <row r="134" spans="1:8" s="175" customFormat="1">
      <c r="A134" s="155"/>
      <c r="E134" s="105"/>
      <c r="F134" s="105"/>
      <c r="G134" s="105"/>
      <c r="H134" s="105"/>
    </row>
    <row r="135" spans="1:8" s="175" customFormat="1">
      <c r="A135" s="155"/>
      <c r="E135" s="105"/>
      <c r="F135" s="105"/>
      <c r="G135" s="105"/>
      <c r="H135" s="105"/>
    </row>
    <row r="136" spans="1:8" s="175" customFormat="1">
      <c r="A136" s="155"/>
      <c r="E136" s="105"/>
      <c r="F136" s="105"/>
      <c r="G136" s="105"/>
      <c r="H136" s="105"/>
    </row>
    <row r="137" spans="1:8" s="175" customFormat="1">
      <c r="A137" s="155"/>
      <c r="E137" s="105"/>
      <c r="F137" s="105"/>
      <c r="G137" s="105"/>
      <c r="H137" s="105"/>
    </row>
    <row r="138" spans="1:8" s="175" customFormat="1">
      <c r="A138" s="155"/>
      <c r="E138" s="105"/>
      <c r="F138" s="105"/>
      <c r="G138" s="105"/>
      <c r="H138" s="105"/>
    </row>
    <row r="139" spans="1:8" s="175" customFormat="1">
      <c r="A139" s="155"/>
      <c r="E139" s="105"/>
      <c r="F139" s="105"/>
      <c r="G139" s="105"/>
      <c r="H139" s="105"/>
    </row>
    <row r="140" spans="1:8" s="175" customFormat="1">
      <c r="A140" s="155"/>
      <c r="E140" s="105"/>
      <c r="F140" s="105"/>
      <c r="G140" s="105"/>
      <c r="H140" s="105"/>
    </row>
    <row r="141" spans="1:8" s="175" customFormat="1">
      <c r="A141" s="155"/>
      <c r="E141" s="105"/>
      <c r="F141" s="105"/>
      <c r="G141" s="105"/>
      <c r="H141" s="105"/>
    </row>
    <row r="142" spans="1:8" s="175" customFormat="1">
      <c r="A142" s="155"/>
      <c r="E142" s="105"/>
      <c r="F142" s="105"/>
      <c r="G142" s="105"/>
      <c r="H142" s="105"/>
    </row>
    <row r="143" spans="1:8" s="175" customFormat="1">
      <c r="A143" s="155"/>
      <c r="E143" s="105"/>
      <c r="F143" s="105"/>
      <c r="G143" s="105"/>
      <c r="H143" s="105"/>
    </row>
    <row r="144" spans="1:8" s="175" customFormat="1">
      <c r="A144" s="155"/>
      <c r="E144" s="105"/>
      <c r="F144" s="105"/>
      <c r="G144" s="105"/>
      <c r="H144" s="105"/>
    </row>
    <row r="145" spans="1:8" s="175" customFormat="1">
      <c r="A145" s="155"/>
      <c r="E145" s="105"/>
      <c r="F145" s="105"/>
      <c r="G145" s="105"/>
      <c r="H145" s="105"/>
    </row>
    <row r="146" spans="1:8" s="175" customFormat="1">
      <c r="A146" s="155"/>
      <c r="E146" s="105"/>
      <c r="F146" s="105"/>
      <c r="G146" s="105"/>
      <c r="H146" s="105"/>
    </row>
    <row r="147" spans="1:8" s="175" customFormat="1">
      <c r="A147" s="155"/>
      <c r="E147" s="105"/>
      <c r="F147" s="105"/>
      <c r="G147" s="105"/>
      <c r="H147" s="105"/>
    </row>
    <row r="148" spans="1:8" s="175" customFormat="1">
      <c r="A148" s="155"/>
      <c r="E148" s="105"/>
      <c r="F148" s="105"/>
      <c r="G148" s="105"/>
      <c r="H148" s="105"/>
    </row>
    <row r="149" spans="1:8" s="175" customFormat="1">
      <c r="A149" s="155"/>
      <c r="E149" s="105"/>
      <c r="F149" s="105"/>
      <c r="G149" s="105"/>
      <c r="H149" s="105"/>
    </row>
    <row r="150" spans="1:8" s="175" customFormat="1">
      <c r="A150" s="155"/>
      <c r="E150" s="105"/>
      <c r="F150" s="105"/>
      <c r="G150" s="105"/>
      <c r="H150" s="105"/>
    </row>
    <row r="151" spans="1:8" s="175" customFormat="1">
      <c r="A151" s="155"/>
      <c r="E151" s="105"/>
      <c r="F151" s="105"/>
      <c r="G151" s="105"/>
      <c r="H151" s="105"/>
    </row>
    <row r="152" spans="1:8" s="175" customFormat="1">
      <c r="A152" s="155"/>
      <c r="E152" s="105"/>
      <c r="F152" s="105"/>
      <c r="G152" s="105"/>
      <c r="H152" s="105"/>
    </row>
    <row r="153" spans="1:8" s="175" customFormat="1">
      <c r="A153" s="155"/>
      <c r="E153" s="105"/>
      <c r="F153" s="105"/>
      <c r="G153" s="105"/>
      <c r="H153" s="105"/>
    </row>
    <row r="154" spans="1:8" s="175" customFormat="1">
      <c r="A154" s="155"/>
      <c r="E154" s="105"/>
      <c r="F154" s="105"/>
      <c r="G154" s="105"/>
      <c r="H154" s="105"/>
    </row>
    <row r="155" spans="1:8" s="175" customFormat="1">
      <c r="A155" s="155"/>
      <c r="E155" s="105"/>
      <c r="F155" s="105"/>
      <c r="G155" s="105"/>
      <c r="H155" s="105"/>
    </row>
    <row r="156" spans="1:8" s="175" customFormat="1">
      <c r="A156" s="155"/>
      <c r="E156" s="105"/>
      <c r="F156" s="105"/>
      <c r="G156" s="105"/>
      <c r="H156" s="105"/>
    </row>
    <row r="157" spans="1:8" s="175" customFormat="1">
      <c r="A157" s="155"/>
      <c r="E157" s="105"/>
      <c r="F157" s="105"/>
      <c r="G157" s="105"/>
      <c r="H157" s="105"/>
    </row>
    <row r="158" spans="1:8" s="175" customFormat="1">
      <c r="A158" s="155"/>
      <c r="E158" s="105"/>
      <c r="F158" s="105"/>
      <c r="G158" s="105"/>
      <c r="H158" s="105"/>
    </row>
    <row r="159" spans="1:8" s="175" customFormat="1">
      <c r="A159" s="155"/>
      <c r="E159" s="105"/>
      <c r="F159" s="105"/>
      <c r="G159" s="105"/>
      <c r="H159" s="105"/>
    </row>
    <row r="160" spans="1:8" s="175" customFormat="1">
      <c r="A160" s="155"/>
      <c r="E160" s="105"/>
      <c r="F160" s="105"/>
      <c r="G160" s="105"/>
      <c r="H160" s="105"/>
    </row>
    <row r="161" spans="1:8" s="175" customFormat="1">
      <c r="A161" s="155"/>
      <c r="E161" s="105"/>
      <c r="F161" s="105"/>
      <c r="G161" s="105"/>
      <c r="H161" s="105"/>
    </row>
    <row r="162" spans="1:8" s="175" customFormat="1">
      <c r="A162" s="155"/>
      <c r="E162" s="105"/>
      <c r="F162" s="105"/>
      <c r="G162" s="105"/>
      <c r="H162" s="105"/>
    </row>
    <row r="163" spans="1:8" s="175" customFormat="1">
      <c r="A163" s="155"/>
      <c r="E163" s="105"/>
      <c r="F163" s="105"/>
      <c r="G163" s="105"/>
      <c r="H163" s="105"/>
    </row>
    <row r="164" spans="1:8" s="175" customFormat="1">
      <c r="A164" s="155"/>
      <c r="E164" s="105"/>
      <c r="F164" s="105"/>
      <c r="G164" s="105"/>
      <c r="H164" s="105"/>
    </row>
    <row r="165" spans="1:8" s="175" customFormat="1">
      <c r="A165" s="155"/>
      <c r="E165" s="105"/>
      <c r="F165" s="105"/>
      <c r="G165" s="105"/>
      <c r="H165" s="105"/>
    </row>
    <row r="166" spans="1:8" s="175" customFormat="1">
      <c r="A166" s="155"/>
      <c r="E166" s="105"/>
      <c r="F166" s="105"/>
      <c r="G166" s="105"/>
      <c r="H166" s="105"/>
    </row>
    <row r="167" spans="1:8" s="175" customFormat="1">
      <c r="A167" s="155"/>
      <c r="E167" s="105"/>
      <c r="F167" s="105"/>
      <c r="G167" s="105"/>
      <c r="H167" s="105"/>
    </row>
    <row r="168" spans="1:8" s="175" customFormat="1">
      <c r="A168" s="155"/>
      <c r="E168" s="105"/>
      <c r="F168" s="105"/>
      <c r="G168" s="105"/>
      <c r="H168" s="105"/>
    </row>
    <row r="169" spans="1:8" s="175" customFormat="1">
      <c r="A169" s="155"/>
      <c r="E169" s="105"/>
      <c r="F169" s="105"/>
      <c r="G169" s="105"/>
      <c r="H169" s="105"/>
    </row>
    <row r="170" spans="1:8" s="175" customFormat="1">
      <c r="A170" s="155"/>
      <c r="E170" s="105"/>
      <c r="F170" s="105"/>
      <c r="G170" s="105"/>
      <c r="H170" s="105"/>
    </row>
    <row r="171" spans="1:8" s="175" customFormat="1">
      <c r="A171" s="155"/>
      <c r="E171" s="105"/>
      <c r="F171" s="105"/>
      <c r="G171" s="105"/>
      <c r="H171" s="105"/>
    </row>
    <row r="172" spans="1:8" s="175" customFormat="1">
      <c r="A172" s="155"/>
      <c r="E172" s="105"/>
      <c r="F172" s="105"/>
      <c r="G172" s="105"/>
      <c r="H172" s="105"/>
    </row>
    <row r="173" spans="1:8" s="175" customFormat="1">
      <c r="A173" s="155"/>
      <c r="E173" s="105"/>
      <c r="F173" s="105"/>
      <c r="G173" s="105"/>
      <c r="H173" s="105"/>
    </row>
    <row r="174" spans="1:8" s="175" customFormat="1">
      <c r="A174" s="155"/>
      <c r="E174" s="105"/>
      <c r="F174" s="105"/>
      <c r="G174" s="105"/>
      <c r="H174" s="105"/>
    </row>
    <row r="175" spans="1:8" s="175" customFormat="1">
      <c r="A175" s="155"/>
      <c r="E175" s="105"/>
      <c r="F175" s="105"/>
      <c r="G175" s="105"/>
      <c r="H175" s="105"/>
    </row>
    <row r="176" spans="1:8" s="175" customFormat="1">
      <c r="A176" s="155"/>
      <c r="E176" s="105"/>
      <c r="F176" s="105"/>
      <c r="G176" s="105"/>
      <c r="H176" s="105"/>
    </row>
    <row r="177" spans="1:8" s="175" customFormat="1">
      <c r="A177" s="155"/>
      <c r="E177" s="105"/>
      <c r="F177" s="105"/>
      <c r="G177" s="105"/>
      <c r="H177" s="105"/>
    </row>
    <row r="178" spans="1:8" s="175" customFormat="1">
      <c r="A178" s="155"/>
      <c r="E178" s="105"/>
      <c r="F178" s="105"/>
      <c r="G178" s="105"/>
      <c r="H178" s="105"/>
    </row>
    <row r="179" spans="1:8" s="175" customFormat="1">
      <c r="A179" s="155"/>
      <c r="E179" s="105"/>
      <c r="F179" s="105"/>
      <c r="G179" s="105"/>
      <c r="H179" s="105"/>
    </row>
    <row r="180" spans="1:8" s="175" customFormat="1">
      <c r="A180" s="155"/>
      <c r="E180" s="105"/>
      <c r="F180" s="105"/>
      <c r="G180" s="105"/>
      <c r="H180" s="105"/>
    </row>
    <row r="181" spans="1:8" s="175" customFormat="1">
      <c r="A181" s="155"/>
      <c r="E181" s="105"/>
      <c r="F181" s="105"/>
      <c r="G181" s="105"/>
      <c r="H181" s="105"/>
    </row>
    <row r="182" spans="1:8" s="175" customFormat="1">
      <c r="A182" s="155"/>
      <c r="E182" s="105"/>
      <c r="F182" s="105"/>
      <c r="G182" s="105"/>
      <c r="H182" s="105"/>
    </row>
    <row r="183" spans="1:8" s="175" customFormat="1">
      <c r="A183" s="155"/>
      <c r="E183" s="105"/>
      <c r="F183" s="105"/>
      <c r="G183" s="105"/>
      <c r="H183" s="105"/>
    </row>
    <row r="184" spans="1:8" s="175" customFormat="1">
      <c r="A184" s="155"/>
      <c r="E184" s="105"/>
      <c r="F184" s="105"/>
      <c r="G184" s="105"/>
      <c r="H184" s="105"/>
    </row>
    <row r="185" spans="1:8" s="175" customFormat="1">
      <c r="A185" s="155"/>
      <c r="E185" s="105"/>
      <c r="F185" s="105"/>
      <c r="G185" s="105"/>
      <c r="H185" s="105"/>
    </row>
    <row r="186" spans="1:8" s="175" customFormat="1">
      <c r="A186" s="155"/>
      <c r="E186" s="105"/>
      <c r="F186" s="105"/>
      <c r="G186" s="105"/>
      <c r="H186" s="105"/>
    </row>
    <row r="187" spans="1:8" s="175" customFormat="1">
      <c r="A187" s="155"/>
      <c r="E187" s="105"/>
      <c r="F187" s="105"/>
      <c r="G187" s="105"/>
      <c r="H187" s="105"/>
    </row>
    <row r="188" spans="1:8" s="175" customFormat="1">
      <c r="A188" s="155"/>
      <c r="E188" s="105"/>
      <c r="F188" s="105"/>
      <c r="G188" s="105"/>
      <c r="H188" s="105"/>
    </row>
    <row r="189" spans="1:8" s="175" customFormat="1">
      <c r="A189" s="155"/>
      <c r="E189" s="105"/>
      <c r="F189" s="105"/>
      <c r="G189" s="105"/>
      <c r="H189" s="105"/>
    </row>
    <row r="190" spans="1:8" s="175" customFormat="1">
      <c r="A190" s="155"/>
      <c r="E190" s="105"/>
      <c r="F190" s="105"/>
      <c r="G190" s="105"/>
      <c r="H190" s="105"/>
    </row>
    <row r="191" spans="1:8" s="175" customFormat="1">
      <c r="A191" s="155"/>
      <c r="E191" s="105"/>
      <c r="F191" s="105"/>
      <c r="G191" s="105"/>
      <c r="H191" s="105"/>
    </row>
    <row r="192" spans="1:8" s="175" customFormat="1">
      <c r="A192" s="155"/>
      <c r="E192" s="105"/>
      <c r="F192" s="105"/>
      <c r="G192" s="105"/>
      <c r="H192" s="105"/>
    </row>
    <row r="193" spans="1:8" s="175" customFormat="1">
      <c r="A193" s="155"/>
      <c r="E193" s="105"/>
      <c r="F193" s="105"/>
      <c r="G193" s="105"/>
      <c r="H193" s="105"/>
    </row>
    <row r="194" spans="1:8" s="175" customFormat="1">
      <c r="A194" s="155"/>
      <c r="E194" s="105"/>
      <c r="F194" s="105"/>
      <c r="G194" s="105"/>
      <c r="H194" s="105"/>
    </row>
    <row r="195" spans="1:8" s="175" customFormat="1">
      <c r="A195" s="155"/>
      <c r="E195" s="105"/>
      <c r="F195" s="105"/>
      <c r="G195" s="105"/>
      <c r="H195" s="105"/>
    </row>
    <row r="196" spans="1:8" s="175" customFormat="1">
      <c r="A196" s="155"/>
      <c r="E196" s="105"/>
      <c r="F196" s="105"/>
      <c r="G196" s="105"/>
      <c r="H196" s="105"/>
    </row>
    <row r="197" spans="1:8" s="175" customFormat="1">
      <c r="A197" s="155"/>
      <c r="E197" s="105"/>
      <c r="F197" s="105"/>
      <c r="G197" s="105"/>
      <c r="H197" s="105"/>
    </row>
    <row r="198" spans="1:8" s="175" customFormat="1">
      <c r="A198" s="155"/>
      <c r="E198" s="105"/>
      <c r="F198" s="105"/>
      <c r="G198" s="105"/>
      <c r="H198" s="105"/>
    </row>
    <row r="199" spans="1:8" s="175" customFormat="1">
      <c r="A199" s="155"/>
      <c r="E199" s="105"/>
      <c r="F199" s="105"/>
      <c r="G199" s="105"/>
      <c r="H199" s="105"/>
    </row>
    <row r="200" spans="1:8" s="175" customFormat="1">
      <c r="A200" s="155"/>
      <c r="E200" s="105"/>
      <c r="F200" s="105"/>
      <c r="G200" s="105"/>
      <c r="H200" s="105"/>
    </row>
    <row r="201" spans="1:8" s="175" customFormat="1">
      <c r="A201" s="155"/>
      <c r="E201" s="105"/>
      <c r="F201" s="105"/>
      <c r="G201" s="105"/>
      <c r="H201" s="105"/>
    </row>
    <row r="202" spans="1:8" s="175" customFormat="1">
      <c r="A202" s="155"/>
      <c r="E202" s="105"/>
      <c r="F202" s="105"/>
      <c r="G202" s="105"/>
      <c r="H202" s="105"/>
    </row>
    <row r="203" spans="1:8" s="175" customFormat="1">
      <c r="A203" s="155"/>
      <c r="E203" s="105"/>
      <c r="F203" s="105"/>
      <c r="G203" s="105"/>
      <c r="H203" s="105"/>
    </row>
    <row r="204" spans="1:8" s="175" customFormat="1">
      <c r="A204" s="155"/>
      <c r="E204" s="105"/>
      <c r="F204" s="105"/>
      <c r="G204" s="105"/>
      <c r="H204" s="105"/>
    </row>
    <row r="205" spans="1:8" s="175" customFormat="1">
      <c r="A205" s="155"/>
      <c r="E205" s="105"/>
      <c r="F205" s="105"/>
      <c r="G205" s="105"/>
      <c r="H205" s="105"/>
    </row>
    <row r="206" spans="1:8" s="175" customFormat="1">
      <c r="A206" s="155"/>
      <c r="E206" s="105"/>
      <c r="F206" s="105"/>
      <c r="G206" s="105"/>
      <c r="H206" s="105"/>
    </row>
    <row r="207" spans="1:8" s="175" customFormat="1">
      <c r="A207" s="155"/>
      <c r="E207" s="105"/>
      <c r="F207" s="105"/>
      <c r="G207" s="105"/>
      <c r="H207" s="105"/>
    </row>
    <row r="208" spans="1:8" s="175" customFormat="1">
      <c r="A208" s="155"/>
      <c r="E208" s="105"/>
      <c r="F208" s="105"/>
      <c r="G208" s="105"/>
      <c r="H208" s="105"/>
    </row>
    <row r="209" spans="1:8" s="175" customFormat="1">
      <c r="A209" s="155"/>
      <c r="E209" s="105"/>
      <c r="F209" s="105"/>
      <c r="G209" s="105"/>
      <c r="H209" s="105"/>
    </row>
    <row r="210" spans="1:8" s="175" customFormat="1">
      <c r="A210" s="155"/>
      <c r="E210" s="105"/>
      <c r="F210" s="105"/>
      <c r="G210" s="105"/>
      <c r="H210" s="105"/>
    </row>
    <row r="211" spans="1:8" s="175" customFormat="1">
      <c r="A211" s="155"/>
      <c r="E211" s="105"/>
      <c r="F211" s="105"/>
      <c r="G211" s="105"/>
      <c r="H211" s="105"/>
    </row>
    <row r="212" spans="1:8" s="175" customFormat="1">
      <c r="A212" s="155"/>
      <c r="E212" s="105"/>
      <c r="F212" s="105"/>
      <c r="G212" s="105"/>
      <c r="H212" s="105"/>
    </row>
    <row r="213" spans="1:8" s="175" customFormat="1">
      <c r="A213" s="155"/>
      <c r="E213" s="105"/>
      <c r="F213" s="105"/>
      <c r="G213" s="105"/>
      <c r="H213" s="105"/>
    </row>
    <row r="214" spans="1:8" s="175" customFormat="1">
      <c r="A214" s="155"/>
      <c r="E214" s="105"/>
      <c r="F214" s="105"/>
      <c r="G214" s="105"/>
      <c r="H214" s="105"/>
    </row>
    <row r="215" spans="1:8" s="175" customFormat="1">
      <c r="A215" s="155"/>
      <c r="E215" s="105"/>
      <c r="F215" s="105"/>
      <c r="G215" s="105"/>
      <c r="H215" s="105"/>
    </row>
    <row r="216" spans="1:8" s="175" customFormat="1">
      <c r="A216" s="155"/>
      <c r="E216" s="105"/>
      <c r="F216" s="105"/>
      <c r="G216" s="105"/>
      <c r="H216" s="105"/>
    </row>
    <row r="217" spans="1:8" s="175" customFormat="1">
      <c r="A217" s="155"/>
      <c r="E217" s="105"/>
      <c r="F217" s="105"/>
      <c r="G217" s="105"/>
      <c r="H217" s="105"/>
    </row>
    <row r="218" spans="1:8" s="175" customFormat="1">
      <c r="A218" s="155"/>
      <c r="E218" s="105"/>
      <c r="F218" s="105"/>
      <c r="G218" s="105"/>
      <c r="H218" s="105"/>
    </row>
    <row r="219" spans="1:8" s="175" customFormat="1">
      <c r="A219" s="155"/>
      <c r="E219" s="105"/>
      <c r="F219" s="105"/>
      <c r="G219" s="105"/>
      <c r="H219" s="105"/>
    </row>
    <row r="220" spans="1:8" s="175" customFormat="1">
      <c r="A220" s="155"/>
      <c r="E220" s="105"/>
      <c r="F220" s="105"/>
      <c r="G220" s="105"/>
      <c r="H220" s="105"/>
    </row>
    <row r="221" spans="1:8" s="175" customFormat="1">
      <c r="A221" s="155"/>
      <c r="E221" s="105"/>
      <c r="F221" s="105"/>
      <c r="G221" s="105"/>
      <c r="H221" s="105"/>
    </row>
    <row r="222" spans="1:8" s="175" customFormat="1">
      <c r="A222" s="155"/>
      <c r="E222" s="105"/>
      <c r="F222" s="105"/>
      <c r="G222" s="105"/>
      <c r="H222" s="105"/>
    </row>
    <row r="223" spans="1:8" s="175" customFormat="1">
      <c r="A223" s="155"/>
      <c r="E223" s="105"/>
      <c r="F223" s="105"/>
      <c r="G223" s="105"/>
      <c r="H223" s="105"/>
    </row>
    <row r="224" spans="1:8" s="175" customFormat="1">
      <c r="A224" s="155"/>
      <c r="E224" s="105"/>
      <c r="F224" s="105"/>
      <c r="G224" s="105"/>
      <c r="H224" s="105"/>
    </row>
    <row r="225" spans="1:8" s="175" customFormat="1">
      <c r="A225" s="155"/>
      <c r="E225" s="105"/>
      <c r="F225" s="105"/>
      <c r="G225" s="105"/>
      <c r="H225" s="105"/>
    </row>
    <row r="226" spans="1:8" s="175" customFormat="1">
      <c r="A226" s="155"/>
      <c r="E226" s="105"/>
      <c r="F226" s="105"/>
      <c r="G226" s="105"/>
      <c r="H226" s="105"/>
    </row>
    <row r="227" spans="1:8" s="175" customFormat="1">
      <c r="A227" s="155"/>
      <c r="E227" s="105"/>
      <c r="F227" s="105"/>
      <c r="G227" s="105"/>
      <c r="H227" s="105"/>
    </row>
    <row r="228" spans="1:8" s="175" customFormat="1">
      <c r="A228" s="155"/>
      <c r="E228" s="105"/>
      <c r="F228" s="105"/>
      <c r="G228" s="105"/>
      <c r="H228" s="105"/>
    </row>
    <row r="229" spans="1:8" s="175" customFormat="1">
      <c r="A229" s="155"/>
      <c r="E229" s="105"/>
      <c r="F229" s="105"/>
      <c r="G229" s="105"/>
      <c r="H229" s="105"/>
    </row>
    <row r="230" spans="1:8" s="175" customFormat="1">
      <c r="A230" s="155"/>
      <c r="E230" s="105"/>
      <c r="F230" s="105"/>
      <c r="G230" s="105"/>
      <c r="H230" s="105"/>
    </row>
    <row r="231" spans="1:8" s="175" customFormat="1">
      <c r="A231" s="155"/>
      <c r="E231" s="105"/>
      <c r="F231" s="105"/>
      <c r="G231" s="105"/>
      <c r="H231" s="105"/>
    </row>
    <row r="232" spans="1:8" s="175" customFormat="1">
      <c r="A232" s="155"/>
      <c r="E232" s="105"/>
      <c r="F232" s="105"/>
      <c r="G232" s="105"/>
      <c r="H232" s="105"/>
    </row>
    <row r="233" spans="1:8" s="175" customFormat="1">
      <c r="A233" s="155"/>
      <c r="E233" s="105"/>
      <c r="F233" s="105"/>
      <c r="G233" s="105"/>
      <c r="H233" s="105"/>
    </row>
    <row r="234" spans="1:8" s="175" customFormat="1">
      <c r="A234" s="155"/>
      <c r="E234" s="105"/>
      <c r="F234" s="105"/>
      <c r="G234" s="105"/>
      <c r="H234" s="105"/>
    </row>
    <row r="235" spans="1:8" s="175" customFormat="1">
      <c r="A235" s="155"/>
      <c r="E235" s="105"/>
      <c r="F235" s="105"/>
      <c r="G235" s="105"/>
      <c r="H235" s="105"/>
    </row>
    <row r="236" spans="1:8" s="175" customFormat="1">
      <c r="A236" s="155"/>
      <c r="E236" s="105"/>
      <c r="F236" s="105"/>
      <c r="G236" s="105"/>
      <c r="H236" s="105"/>
    </row>
    <row r="237" spans="1:8" s="175" customFormat="1">
      <c r="A237" s="155"/>
      <c r="E237" s="105"/>
      <c r="F237" s="105"/>
      <c r="G237" s="105"/>
      <c r="H237" s="105"/>
    </row>
    <row r="238" spans="1:8" s="175" customFormat="1">
      <c r="A238" s="155"/>
      <c r="E238" s="105"/>
      <c r="F238" s="105"/>
      <c r="G238" s="105"/>
      <c r="H238" s="105"/>
    </row>
    <row r="239" spans="1:8" s="175" customFormat="1">
      <c r="A239" s="155"/>
      <c r="E239" s="105"/>
      <c r="F239" s="105"/>
      <c r="G239" s="105"/>
      <c r="H239" s="105"/>
    </row>
    <row r="240" spans="1:8" s="175" customFormat="1">
      <c r="A240" s="155"/>
      <c r="E240" s="105"/>
      <c r="F240" s="105"/>
      <c r="G240" s="105"/>
      <c r="H240" s="105"/>
    </row>
    <row r="241" spans="1:8" s="175" customFormat="1">
      <c r="A241" s="155"/>
      <c r="E241" s="105"/>
      <c r="F241" s="105"/>
      <c r="G241" s="105"/>
      <c r="H241" s="105"/>
    </row>
    <row r="242" spans="1:8" s="175" customFormat="1">
      <c r="A242" s="155"/>
      <c r="E242" s="105"/>
      <c r="F242" s="105"/>
      <c r="G242" s="105"/>
      <c r="H242" s="105"/>
    </row>
    <row r="243" spans="1:8" s="175" customFormat="1">
      <c r="A243" s="155"/>
      <c r="E243" s="105"/>
      <c r="F243" s="105"/>
      <c r="G243" s="105"/>
      <c r="H243" s="105"/>
    </row>
    <row r="244" spans="1:8" s="175" customFormat="1">
      <c r="A244" s="155"/>
      <c r="E244" s="105"/>
      <c r="F244" s="105"/>
      <c r="G244" s="105"/>
      <c r="H244" s="105"/>
    </row>
    <row r="245" spans="1:8" s="175" customFormat="1">
      <c r="A245" s="155"/>
      <c r="E245" s="105"/>
      <c r="F245" s="105"/>
      <c r="G245" s="105"/>
      <c r="H245" s="105"/>
    </row>
    <row r="246" spans="1:8" s="175" customFormat="1">
      <c r="A246" s="155"/>
      <c r="E246" s="105"/>
      <c r="F246" s="105"/>
      <c r="G246" s="105"/>
      <c r="H246" s="105"/>
    </row>
    <row r="247" spans="1:8" s="175" customFormat="1">
      <c r="A247" s="155"/>
      <c r="E247" s="105"/>
      <c r="F247" s="105"/>
      <c r="G247" s="105"/>
      <c r="H247" s="105"/>
    </row>
    <row r="248" spans="1:8" s="175" customFormat="1">
      <c r="A248" s="155"/>
      <c r="E248" s="105"/>
      <c r="F248" s="105"/>
      <c r="G248" s="105"/>
      <c r="H248" s="105"/>
    </row>
    <row r="249" spans="1:8" s="175" customFormat="1">
      <c r="A249" s="155"/>
      <c r="E249" s="105"/>
      <c r="F249" s="105"/>
      <c r="G249" s="105"/>
      <c r="H249" s="105"/>
    </row>
    <row r="250" spans="1:8" s="175" customFormat="1">
      <c r="A250" s="155"/>
      <c r="E250" s="105"/>
      <c r="F250" s="105"/>
      <c r="G250" s="105"/>
      <c r="H250" s="105"/>
    </row>
    <row r="251" spans="1:8" s="175" customFormat="1">
      <c r="A251" s="155"/>
      <c r="E251" s="105"/>
      <c r="F251" s="105"/>
      <c r="G251" s="105"/>
      <c r="H251" s="105"/>
    </row>
  </sheetData>
  <mergeCells count="17">
    <mergeCell ref="C100:D100"/>
    <mergeCell ref="G100:H100"/>
    <mergeCell ref="C99:D99"/>
    <mergeCell ref="A78:H78"/>
    <mergeCell ref="A51:H51"/>
    <mergeCell ref="A69:H69"/>
    <mergeCell ref="C79:D79"/>
    <mergeCell ref="E79:H79"/>
    <mergeCell ref="G99:H99"/>
    <mergeCell ref="A44:H44"/>
    <mergeCell ref="A2:H2"/>
    <mergeCell ref="A1:H1"/>
    <mergeCell ref="A4:A5"/>
    <mergeCell ref="B4:B5"/>
    <mergeCell ref="A7:H7"/>
    <mergeCell ref="E4:H4"/>
    <mergeCell ref="C4:D4"/>
  </mergeCells>
  <phoneticPr fontId="4" type="noConversion"/>
  <pageMargins left="0.39370078740157483" right="0.39370078740157483" top="0.78740157480314965" bottom="0.39370078740157483" header="0.39370078740157483" footer="0.19685039370078741"/>
  <pageSetup paperSize="9" scale="70" fitToHeight="7" orientation="landscape" verticalDpi="300" r:id="rId1"/>
  <headerFooter alignWithMargins="0"/>
  <ignoredErrors>
    <ignoredError sqref="B81:B8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A2:AD319"/>
  <sheetViews>
    <sheetView view="pageBreakPreview" zoomScale="60" workbookViewId="0">
      <selection activeCell="H18" sqref="H18"/>
    </sheetView>
  </sheetViews>
  <sheetFormatPr defaultRowHeight="18.75"/>
  <cols>
    <col min="1" max="1" width="9.140625" style="2"/>
    <col min="2" max="2" width="58" style="2" customWidth="1"/>
    <col min="3" max="3" width="13.42578125" style="203" customWidth="1"/>
    <col min="4" max="4" width="18.28515625" style="203" customWidth="1"/>
    <col min="5" max="5" width="18.5703125" style="203" customWidth="1"/>
    <col min="6" max="6" width="17.85546875" style="203" customWidth="1"/>
    <col min="7" max="7" width="18.28515625" style="2" customWidth="1"/>
    <col min="8" max="8" width="19.28515625" style="2" customWidth="1"/>
    <col min="9" max="9" width="16.28515625" style="2" customWidth="1"/>
    <col min="10" max="10" width="18" style="2" customWidth="1"/>
    <col min="11" max="11" width="17.28515625" style="2" customWidth="1"/>
    <col min="12" max="12" width="22.140625" style="2" customWidth="1"/>
    <col min="13" max="13" width="16.7109375" style="2" bestFit="1" customWidth="1"/>
    <col min="14" max="14" width="10.5703125" style="2" bestFit="1" customWidth="1"/>
    <col min="15" max="15" width="14.7109375" style="2" bestFit="1" customWidth="1"/>
    <col min="16" max="18" width="9.140625" style="2"/>
    <col min="19" max="19" width="11.5703125" style="2" bestFit="1" customWidth="1"/>
    <col min="20" max="20" width="9.140625" style="2"/>
    <col min="21" max="21" width="11.5703125" style="2" bestFit="1" customWidth="1"/>
    <col min="22" max="16384" width="9.140625" style="2"/>
  </cols>
  <sheetData>
    <row r="2" spans="1:13" ht="20.25">
      <c r="B2" s="226" t="s">
        <v>102</v>
      </c>
      <c r="C2" s="226"/>
      <c r="D2" s="226"/>
      <c r="E2" s="226"/>
      <c r="F2" s="226"/>
    </row>
    <row r="3" spans="1:13">
      <c r="B3" s="206"/>
      <c r="C3" s="3"/>
      <c r="D3" s="206"/>
      <c r="E3" s="206"/>
      <c r="F3" s="206"/>
      <c r="H3" s="2" t="s">
        <v>65</v>
      </c>
    </row>
    <row r="4" spans="1:13" ht="73.5" customHeight="1">
      <c r="A4" s="4" t="s">
        <v>76</v>
      </c>
      <c r="B4" s="4" t="s">
        <v>23</v>
      </c>
      <c r="C4" s="12" t="s">
        <v>5</v>
      </c>
      <c r="D4" s="12" t="s">
        <v>513</v>
      </c>
      <c r="E4" s="12" t="s">
        <v>514</v>
      </c>
      <c r="F4" s="12" t="s">
        <v>515</v>
      </c>
      <c r="G4" s="12" t="s">
        <v>111</v>
      </c>
      <c r="H4" s="12" t="s">
        <v>113</v>
      </c>
    </row>
    <row r="5" spans="1:13" ht="30.75" customHeight="1">
      <c r="A5" s="4">
        <v>1</v>
      </c>
      <c r="B5" s="4">
        <v>2</v>
      </c>
      <c r="C5" s="12">
        <v>3</v>
      </c>
      <c r="D5" s="12">
        <v>4</v>
      </c>
      <c r="E5" s="12">
        <v>5</v>
      </c>
      <c r="F5" s="12">
        <v>6</v>
      </c>
      <c r="G5" s="4">
        <v>7</v>
      </c>
      <c r="H5" s="4">
        <v>8</v>
      </c>
    </row>
    <row r="6" spans="1:13" ht="30.75" customHeight="1">
      <c r="A6" s="229" t="s">
        <v>75</v>
      </c>
      <c r="B6" s="229"/>
      <c r="C6" s="12"/>
      <c r="D6" s="13">
        <f>D7+D10+D17+D19</f>
        <v>95013.8</v>
      </c>
      <c r="E6" s="13">
        <f>E7+E10+E17+E19</f>
        <v>97924.299999999988</v>
      </c>
      <c r="F6" s="13">
        <f>F7+F10+F17+F19</f>
        <v>101898.6</v>
      </c>
      <c r="G6" s="205">
        <f>F6-E6</f>
        <v>3974.3000000000175</v>
      </c>
      <c r="H6" s="270">
        <f>(F6/E6)*100</f>
        <v>104.05854318080397</v>
      </c>
      <c r="I6" s="20"/>
      <c r="J6" s="20"/>
      <c r="K6" s="20"/>
      <c r="L6" s="20"/>
    </row>
    <row r="7" spans="1:13" ht="45" customHeight="1">
      <c r="A7" s="230" t="s">
        <v>74</v>
      </c>
      <c r="B7" s="230"/>
      <c r="C7" s="178">
        <v>1000</v>
      </c>
      <c r="D7" s="14">
        <f>SUM(D8:D9)</f>
        <v>77984.100000000006</v>
      </c>
      <c r="E7" s="14">
        <f>SUM(E8:E9)</f>
        <v>81403.199999999997</v>
      </c>
      <c r="F7" s="14">
        <f>SUM(F8:F9)</f>
        <v>79702</v>
      </c>
      <c r="G7" s="19">
        <f>F7-E7</f>
        <v>-1701.1999999999971</v>
      </c>
      <c r="H7" s="19">
        <f>(F7/E7)*100</f>
        <v>97.910155866108468</v>
      </c>
      <c r="K7" s="20"/>
    </row>
    <row r="8" spans="1:13" ht="45" customHeight="1">
      <c r="A8" s="16">
        <v>1</v>
      </c>
      <c r="B8" s="17" t="s">
        <v>187</v>
      </c>
      <c r="C8" s="178"/>
      <c r="D8" s="18">
        <v>77261.600000000006</v>
      </c>
      <c r="E8" s="18">
        <v>79871.7</v>
      </c>
      <c r="F8" s="18">
        <v>79405.100000000006</v>
      </c>
      <c r="G8" s="15">
        <f>F8-E8</f>
        <v>-466.59999999999127</v>
      </c>
      <c r="H8" s="15">
        <f>(F8/E8)*100</f>
        <v>99.415813110275622</v>
      </c>
      <c r="J8" s="20"/>
      <c r="L8" s="20"/>
      <c r="M8" s="20"/>
    </row>
    <row r="9" spans="1:13" ht="30" customHeight="1">
      <c r="A9" s="16">
        <v>2</v>
      </c>
      <c r="B9" s="17" t="s">
        <v>238</v>
      </c>
      <c r="C9" s="178"/>
      <c r="D9" s="18">
        <v>722.5</v>
      </c>
      <c r="E9" s="18">
        <v>1531.5</v>
      </c>
      <c r="F9" s="18">
        <v>296.89999999999998</v>
      </c>
      <c r="G9" s="15">
        <f t="shared" ref="G9:G20" si="0">F9-E9</f>
        <v>-1234.5999999999999</v>
      </c>
      <c r="H9" s="15">
        <f t="shared" ref="H9:H20" si="1">(F9/E9)*100</f>
        <v>19.386222657525302</v>
      </c>
    </row>
    <row r="10" spans="1:13" ht="30.75" customHeight="1">
      <c r="A10" s="271" t="s">
        <v>35</v>
      </c>
      <c r="B10" s="271"/>
      <c r="C10" s="178">
        <v>1040</v>
      </c>
      <c r="D10" s="14">
        <f>SUM(D11:D16)</f>
        <v>12291.2</v>
      </c>
      <c r="E10" s="14">
        <f>SUM(E11:E16)</f>
        <v>10216.099999999999</v>
      </c>
      <c r="F10" s="14">
        <f>SUM(F11:F16)</f>
        <v>15770.399999999998</v>
      </c>
      <c r="G10" s="19">
        <f t="shared" si="0"/>
        <v>5554.2999999999993</v>
      </c>
      <c r="H10" s="19">
        <f t="shared" si="1"/>
        <v>154.36810524564169</v>
      </c>
      <c r="J10" s="51"/>
    </row>
    <row r="11" spans="1:13" ht="48" customHeight="1">
      <c r="A11" s="16">
        <v>1</v>
      </c>
      <c r="B11" s="17" t="s">
        <v>216</v>
      </c>
      <c r="C11" s="178"/>
      <c r="D11" s="18">
        <v>8626.9</v>
      </c>
      <c r="E11" s="18">
        <v>10158.299999999999</v>
      </c>
      <c r="F11" s="166">
        <v>10158.299999999999</v>
      </c>
      <c r="G11" s="15">
        <f t="shared" si="0"/>
        <v>0</v>
      </c>
      <c r="H11" s="15">
        <f t="shared" si="1"/>
        <v>100</v>
      </c>
      <c r="I11" s="20"/>
      <c r="J11" s="20"/>
    </row>
    <row r="12" spans="1:13" ht="48" customHeight="1">
      <c r="A12" s="16">
        <v>2</v>
      </c>
      <c r="B12" s="17" t="s">
        <v>217</v>
      </c>
      <c r="C12" s="178"/>
      <c r="D12" s="18"/>
      <c r="E12" s="18"/>
      <c r="F12" s="18">
        <v>3847.5</v>
      </c>
      <c r="G12" s="15">
        <f t="shared" si="0"/>
        <v>3847.5</v>
      </c>
      <c r="H12" s="53" t="e">
        <f t="shared" si="1"/>
        <v>#DIV/0!</v>
      </c>
      <c r="I12" s="20"/>
      <c r="J12" s="20"/>
    </row>
    <row r="13" spans="1:13" ht="37.5" customHeight="1">
      <c r="A13" s="16">
        <v>3</v>
      </c>
      <c r="B13" s="21" t="s">
        <v>320</v>
      </c>
      <c r="C13" s="178"/>
      <c r="D13" s="18">
        <v>5.9</v>
      </c>
      <c r="E13" s="18"/>
      <c r="F13" s="18">
        <v>9.8000000000000007</v>
      </c>
      <c r="G13" s="15">
        <f t="shared" si="0"/>
        <v>9.8000000000000007</v>
      </c>
      <c r="H13" s="53" t="e">
        <f t="shared" si="1"/>
        <v>#DIV/0!</v>
      </c>
      <c r="I13" s="20"/>
      <c r="J13" s="20"/>
    </row>
    <row r="14" spans="1:13" ht="32.25" customHeight="1">
      <c r="A14" s="16">
        <v>4</v>
      </c>
      <c r="B14" s="17" t="s">
        <v>188</v>
      </c>
      <c r="C14" s="178"/>
      <c r="D14" s="18">
        <v>69.5</v>
      </c>
      <c r="E14" s="18">
        <v>57.8</v>
      </c>
      <c r="F14" s="18">
        <v>125.2</v>
      </c>
      <c r="G14" s="15">
        <f t="shared" si="0"/>
        <v>67.400000000000006</v>
      </c>
      <c r="H14" s="15">
        <f t="shared" si="1"/>
        <v>216.60899653979243</v>
      </c>
    </row>
    <row r="15" spans="1:13" ht="33" customHeight="1">
      <c r="A15" s="16">
        <v>5</v>
      </c>
      <c r="B15" s="17" t="s">
        <v>189</v>
      </c>
      <c r="C15" s="178"/>
      <c r="D15" s="18">
        <v>395.1</v>
      </c>
      <c r="E15" s="18"/>
      <c r="F15" s="18">
        <v>203.8</v>
      </c>
      <c r="G15" s="15">
        <f t="shared" si="0"/>
        <v>203.8</v>
      </c>
      <c r="H15" s="53" t="e">
        <f t="shared" si="1"/>
        <v>#DIV/0!</v>
      </c>
      <c r="J15" s="20"/>
    </row>
    <row r="16" spans="1:13" ht="30.75" customHeight="1">
      <c r="A16" s="16">
        <v>6</v>
      </c>
      <c r="B16" s="17" t="s">
        <v>190</v>
      </c>
      <c r="C16" s="178"/>
      <c r="D16" s="18">
        <v>3193.8</v>
      </c>
      <c r="E16" s="18"/>
      <c r="F16" s="18">
        <v>1425.8</v>
      </c>
      <c r="G16" s="15">
        <f t="shared" si="0"/>
        <v>1425.8</v>
      </c>
      <c r="H16" s="53" t="e">
        <f t="shared" si="1"/>
        <v>#DIV/0!</v>
      </c>
      <c r="I16" s="20"/>
      <c r="J16" s="20"/>
    </row>
    <row r="17" spans="1:30" ht="30.75" customHeight="1">
      <c r="A17" s="271" t="s">
        <v>77</v>
      </c>
      <c r="B17" s="271"/>
      <c r="C17" s="178">
        <v>1130</v>
      </c>
      <c r="D17" s="14">
        <f>D18</f>
        <v>772.8</v>
      </c>
      <c r="E17" s="14">
        <f>E18</f>
        <v>805</v>
      </c>
      <c r="F17" s="14">
        <f>F18</f>
        <v>1347.1</v>
      </c>
      <c r="G17" s="19">
        <f t="shared" si="0"/>
        <v>542.09999999999991</v>
      </c>
      <c r="H17" s="19">
        <f t="shared" si="1"/>
        <v>167.34161490683229</v>
      </c>
    </row>
    <row r="18" spans="1:30" ht="45" customHeight="1">
      <c r="A18" s="16">
        <v>1</v>
      </c>
      <c r="B18" s="21" t="s">
        <v>191</v>
      </c>
      <c r="C18" s="12"/>
      <c r="D18" s="18">
        <v>772.8</v>
      </c>
      <c r="E18" s="18">
        <v>805</v>
      </c>
      <c r="F18" s="18">
        <v>1347.1</v>
      </c>
      <c r="G18" s="15">
        <f t="shared" si="0"/>
        <v>542.09999999999991</v>
      </c>
      <c r="H18" s="15">
        <f t="shared" si="1"/>
        <v>167.34161490683229</v>
      </c>
    </row>
    <row r="19" spans="1:30" ht="30.75" customHeight="1">
      <c r="A19" s="271" t="s">
        <v>27</v>
      </c>
      <c r="B19" s="271"/>
      <c r="C19" s="178">
        <v>1150</v>
      </c>
      <c r="D19" s="14">
        <f>SUM(D20:D20)</f>
        <v>3965.7</v>
      </c>
      <c r="E19" s="14">
        <f>SUM(E20:E20)</f>
        <v>5500</v>
      </c>
      <c r="F19" s="14">
        <f>SUM(F20:F20)</f>
        <v>5079.1000000000004</v>
      </c>
      <c r="G19" s="19">
        <f t="shared" si="0"/>
        <v>-420.89999999999964</v>
      </c>
      <c r="H19" s="19">
        <f t="shared" si="1"/>
        <v>92.347272727272738</v>
      </c>
      <c r="I19" s="20"/>
      <c r="J19" s="20"/>
    </row>
    <row r="20" spans="1:30" ht="41.25" customHeight="1">
      <c r="A20" s="4">
        <v>1</v>
      </c>
      <c r="B20" s="17" t="s">
        <v>202</v>
      </c>
      <c r="C20" s="178"/>
      <c r="D20" s="18">
        <v>3965.7</v>
      </c>
      <c r="E20" s="18">
        <v>5500</v>
      </c>
      <c r="F20" s="18">
        <v>5079.1000000000004</v>
      </c>
      <c r="G20" s="15">
        <f t="shared" si="0"/>
        <v>-420.89999999999964</v>
      </c>
      <c r="H20" s="15">
        <f t="shared" si="1"/>
        <v>92.347272727272738</v>
      </c>
    </row>
    <row r="21" spans="1:30" ht="35.25" customHeight="1">
      <c r="A21" s="229" t="s">
        <v>78</v>
      </c>
      <c r="B21" s="229"/>
      <c r="C21" s="178"/>
      <c r="D21" s="14"/>
      <c r="E21" s="14"/>
      <c r="F21" s="14"/>
      <c r="G21" s="15"/>
      <c r="H21" s="15"/>
    </row>
    <row r="22" spans="1:30" ht="48" customHeight="1">
      <c r="A22" s="230" t="s">
        <v>79</v>
      </c>
      <c r="B22" s="230"/>
      <c r="C22" s="12"/>
      <c r="D22" s="14"/>
      <c r="E22" s="14"/>
      <c r="F22" s="14"/>
      <c r="G22" s="15"/>
      <c r="H22" s="15"/>
    </row>
    <row r="23" spans="1:30" ht="34.5" customHeight="1">
      <c r="A23" s="272" t="s">
        <v>80</v>
      </c>
      <c r="B23" s="272"/>
      <c r="C23" s="178">
        <v>1011</v>
      </c>
      <c r="D23" s="14">
        <f>SUM(D24:D29)</f>
        <v>15595.9</v>
      </c>
      <c r="E23" s="14">
        <f>SUM(E24:E29)</f>
        <v>15256.800000000001</v>
      </c>
      <c r="F23" s="14">
        <f>SUM(F24:F29)</f>
        <v>17058.500000000004</v>
      </c>
      <c r="G23" s="19">
        <f t="shared" ref="G23:G31" si="2">F23-E23</f>
        <v>1801.7000000000025</v>
      </c>
      <c r="H23" s="19">
        <f t="shared" ref="H23:H31" si="3">(F23/E23)*100</f>
        <v>111.80916050547953</v>
      </c>
      <c r="I23" s="20">
        <f>'Розшифровка 2 до формування'!M12</f>
        <v>46266.9</v>
      </c>
      <c r="J23" s="20"/>
      <c r="K23" s="34"/>
    </row>
    <row r="24" spans="1:30" ht="32.25" customHeight="1">
      <c r="A24" s="178"/>
      <c r="B24" s="17" t="s">
        <v>176</v>
      </c>
      <c r="C24" s="178"/>
      <c r="D24" s="18">
        <f>'Розшифровка 2 до формування'!D131+'Розшифровка 2 до формування'!D151</f>
        <v>2941.5</v>
      </c>
      <c r="E24" s="109">
        <f>'Розшифровка 2 до формування'!E131+'Розшифровка 2 до формування'!E151</f>
        <v>2661.1</v>
      </c>
      <c r="F24" s="18">
        <f>'Розшифровка 2 до формування'!F131+'Розшифровка 2 до формування'!F151</f>
        <v>2495.6</v>
      </c>
      <c r="G24" s="15">
        <f t="shared" si="2"/>
        <v>-165.5</v>
      </c>
      <c r="H24" s="15">
        <f t="shared" si="3"/>
        <v>93.78076735184699</v>
      </c>
      <c r="J24" s="20"/>
    </row>
    <row r="25" spans="1:30" ht="26.25" customHeight="1">
      <c r="A25" s="178"/>
      <c r="B25" s="21" t="s">
        <v>192</v>
      </c>
      <c r="C25" s="178"/>
      <c r="D25" s="18">
        <f>'Розшифровка 2 до формування'!D11+'Розшифровка 2 до формування'!D58+'Розшифровка 2 до формування'!D133+'Розшифровка 2 до формування'!D150+'Розшифровка 2 до формування'!D217+'Розшифровка 2 до формування'!D198</f>
        <v>11168.3</v>
      </c>
      <c r="E25" s="110">
        <f>'Розшифровка 2 до формування'!E11+'Розшифровка 2 до формування'!E58+'Розшифровка 2 до формування'!E133+'Розшифровка 2 до формування'!E150+'Розшифровка 2 до формування'!E217+'Розшифровка 2 до формування'!E198</f>
        <v>11012</v>
      </c>
      <c r="F25" s="18">
        <f>'Розшифровка 2 до формування'!F11+'Розшифровка 2 до формування'!F58+'Розшифровка 2 до формування'!F133+'Розшифровка 2 до формування'!F150+'Розшифровка 2 до формування'!F217+'Розшифровка 2 до формування'!F198</f>
        <v>12759.5</v>
      </c>
      <c r="G25" s="15">
        <f t="shared" si="2"/>
        <v>1747.5</v>
      </c>
      <c r="H25" s="15">
        <f t="shared" si="3"/>
        <v>115.86905194333454</v>
      </c>
      <c r="AD25" s="2" t="s">
        <v>204</v>
      </c>
    </row>
    <row r="26" spans="1:30" ht="24.75" customHeight="1">
      <c r="A26" s="178"/>
      <c r="B26" s="17" t="s">
        <v>138</v>
      </c>
      <c r="C26" s="178"/>
      <c r="D26" s="18">
        <f>'Розшифровка 2 до формування'!D12+'Розшифровка 2 до формування'!D59+'Розшифровка 2 до формування'!D200</f>
        <v>597.20000000000005</v>
      </c>
      <c r="E26" s="110">
        <f>'Розшифровка 2 до формування'!E12+'Розшифровка 2 до формування'!E59+'Розшифровка 2 до формування'!E200</f>
        <v>610</v>
      </c>
      <c r="F26" s="18">
        <f>'Розшифровка 2 до формування'!F12+'Розшифровка 2 до формування'!F59+'Розшифровка 2 до формування'!F200</f>
        <v>854.7</v>
      </c>
      <c r="G26" s="15">
        <f t="shared" si="2"/>
        <v>244.70000000000005</v>
      </c>
      <c r="H26" s="15">
        <f t="shared" si="3"/>
        <v>140.11475409836066</v>
      </c>
    </row>
    <row r="27" spans="1:30" ht="27" customHeight="1">
      <c r="A27" s="178"/>
      <c r="B27" s="21" t="s">
        <v>173</v>
      </c>
      <c r="C27" s="178"/>
      <c r="D27" s="18">
        <f>'Розшифровка 2 до формування'!D15+'Розшифровка 2 до формування'!D60+'Розшифровка 2 до формування'!D132+'Розшифровка 2 до формування'!D199+'Розшифровка 2 до формування'!D222</f>
        <v>217.79999999999998</v>
      </c>
      <c r="E27" s="110">
        <f>'Розшифровка 2 до формування'!E15+'Розшифровка 2 до формування'!E60+'Розшифровка 2 до формування'!E132+'Розшифровка 2 до формування'!E199+'Розшифровка 2 до формування'!E222</f>
        <v>389.7</v>
      </c>
      <c r="F27" s="18">
        <f>'Розшифровка 2 до формування'!F15+'Розшифровка 2 до формування'!F60+'Розшифровка 2 до формування'!F132+'Розшифровка 2 до формування'!F199+'Розшифровка 2 до формування'!F222</f>
        <v>325.8</v>
      </c>
      <c r="G27" s="15">
        <f t="shared" si="2"/>
        <v>-63.899999999999977</v>
      </c>
      <c r="H27" s="15">
        <f t="shared" si="3"/>
        <v>83.602771362586608</v>
      </c>
    </row>
    <row r="28" spans="1:30" ht="63" customHeight="1">
      <c r="A28" s="22"/>
      <c r="B28" s="17" t="s">
        <v>193</v>
      </c>
      <c r="C28" s="12"/>
      <c r="D28" s="18">
        <f>'Розшифровка 2 до формування'!D13+'Розшифровка 2 до формування'!D61+'Розшифровка 2 до формування'!D163+'Розшифровка 2 до формування'!D202+'Розшифровка 2 до формування'!D223+'Розшифровка 2 до формування'!D106</f>
        <v>520.4</v>
      </c>
      <c r="E28" s="110">
        <f>'Розшифровка 2 до формування'!E13+'Розшифровка 2 до формування'!E61+'Розшифровка 2 до формування'!E163+'Розшифровка 2 до формування'!E202+'Розшифровка 2 до формування'!E223+'Розшифровка 2 до формування'!E106</f>
        <v>530</v>
      </c>
      <c r="F28" s="18">
        <f>'Розшифровка 2 до формування'!F13+'Розшифровка 2 до формування'!F61+'Розшифровка 2 до формування'!F163+'Розшифровка 2 до формування'!F202+'Розшифровка 2 до формування'!F223+'Розшифровка 2 до формування'!F106</f>
        <v>489.69999999999993</v>
      </c>
      <c r="G28" s="15">
        <f t="shared" si="2"/>
        <v>-40.300000000000068</v>
      </c>
      <c r="H28" s="15">
        <f t="shared" si="3"/>
        <v>92.396226415094333</v>
      </c>
    </row>
    <row r="29" spans="1:30" ht="30.75" customHeight="1">
      <c r="A29" s="22"/>
      <c r="B29" s="17" t="s">
        <v>160</v>
      </c>
      <c r="C29" s="12"/>
      <c r="D29" s="18">
        <f>'Розшифровка 2 до формування'!D14+'Розшифровка 2 до формування'!D62+'Розшифровка 2 до формування'!D107+'Розшифровка 2 до формування'!D164+'Розшифровка 2 до формування'!D201+'Розшифровка 2 до формування'!D224</f>
        <v>150.70000000000002</v>
      </c>
      <c r="E29" s="110">
        <f>'Розшифровка 2 до формування'!E14+'Розшифровка 2 до формування'!E62+'Розшифровка 2 до формування'!E107+'Розшифровка 2 до формування'!E164+'Розшифровка 2 до формування'!E201+'Розшифровка 2 до формування'!E224</f>
        <v>54</v>
      </c>
      <c r="F29" s="18">
        <f>'Розшифровка 2 до формування'!F14+'Розшифровка 2 до формування'!F62+'Розшифровка 2 до формування'!F107+'Розшифровка 2 до формування'!F164+'Розшифровка 2 до формування'!F201+'Розшифровка 2 до формування'!F224</f>
        <v>133.20000000000002</v>
      </c>
      <c r="G29" s="15">
        <f t="shared" si="2"/>
        <v>79.200000000000017</v>
      </c>
      <c r="H29" s="15">
        <f t="shared" si="3"/>
        <v>246.66666666666669</v>
      </c>
    </row>
    <row r="30" spans="1:30" ht="35.25" customHeight="1">
      <c r="A30" s="272" t="s">
        <v>81</v>
      </c>
      <c r="B30" s="272"/>
      <c r="C30" s="178">
        <v>1015</v>
      </c>
      <c r="D30" s="14">
        <f>SUM(D31:D59)</f>
        <v>7277.3</v>
      </c>
      <c r="E30" s="14">
        <f>SUM(E31:E59)</f>
        <v>12464.099999999999</v>
      </c>
      <c r="F30" s="14">
        <f>SUM(F31:F59)</f>
        <v>11006.800000000001</v>
      </c>
      <c r="G30" s="19">
        <f t="shared" si="2"/>
        <v>-1457.2999999999975</v>
      </c>
      <c r="H30" s="19">
        <f t="shared" si="3"/>
        <v>88.308020635264498</v>
      </c>
      <c r="I30" s="20">
        <f>'Розшифровка 2 до формування'!M16</f>
        <v>0</v>
      </c>
      <c r="J30" s="20"/>
      <c r="K30" s="20"/>
    </row>
    <row r="31" spans="1:30" ht="31.5" customHeight="1">
      <c r="A31" s="178"/>
      <c r="B31" s="264" t="s">
        <v>144</v>
      </c>
      <c r="C31" s="178"/>
      <c r="D31" s="18">
        <f>'Розшифровка 2 до формування'!D20</f>
        <v>0</v>
      </c>
      <c r="E31" s="18">
        <f>'Розшифровка 2 до формування'!E20</f>
        <v>115</v>
      </c>
      <c r="F31" s="18">
        <f>'Розшифровка 2 до формування'!F20</f>
        <v>152.6</v>
      </c>
      <c r="G31" s="15">
        <f t="shared" si="2"/>
        <v>37.599999999999994</v>
      </c>
      <c r="H31" s="15">
        <f t="shared" si="3"/>
        <v>132.69565217391303</v>
      </c>
      <c r="K31" s="20"/>
    </row>
    <row r="32" spans="1:30" ht="30" customHeight="1">
      <c r="A32" s="178"/>
      <c r="B32" s="17" t="s">
        <v>145</v>
      </c>
      <c r="C32" s="178"/>
      <c r="D32" s="18">
        <f>'Розшифровка 2 до формування'!D21+'Розшифровка 2 до формування'!D166</f>
        <v>328.9</v>
      </c>
      <c r="E32" s="18">
        <f>'Розшифровка 2 до формування'!E21+'Розшифровка 2 до формування'!E166</f>
        <v>600</v>
      </c>
      <c r="F32" s="18">
        <f>'Розшифровка 2 до формування'!F21+'Розшифровка 2 до формування'!F166</f>
        <v>388.6</v>
      </c>
      <c r="G32" s="15">
        <f t="shared" ref="G32:G59" si="4">F32-E32</f>
        <v>-211.39999999999998</v>
      </c>
      <c r="H32" s="15">
        <f t="shared" ref="H32:H59" si="5">(F32/E32)*100</f>
        <v>64.766666666666666</v>
      </c>
    </row>
    <row r="33" spans="1:14" ht="30.75" customHeight="1">
      <c r="A33" s="178"/>
      <c r="B33" s="17" t="s">
        <v>146</v>
      </c>
      <c r="C33" s="178"/>
      <c r="D33" s="18">
        <f>'Розшифровка 2 до формування'!D22</f>
        <v>41.2</v>
      </c>
      <c r="E33" s="18">
        <f>'Розшифровка 2 до формування'!E22</f>
        <v>45</v>
      </c>
      <c r="F33" s="18">
        <f>'Розшифровка 2 до формування'!F22</f>
        <v>34</v>
      </c>
      <c r="G33" s="15">
        <f t="shared" si="4"/>
        <v>-11</v>
      </c>
      <c r="H33" s="15">
        <f t="shared" si="5"/>
        <v>75.555555555555557</v>
      </c>
    </row>
    <row r="34" spans="1:14" ht="30" customHeight="1">
      <c r="A34" s="178"/>
      <c r="B34" s="17" t="s">
        <v>147</v>
      </c>
      <c r="C34" s="178"/>
      <c r="D34" s="18">
        <f>'Розшифровка 2 до формування'!D23+'Розшифровка 2 до формування'!D167+'Розшифровка 2 до формування'!D204</f>
        <v>214.5</v>
      </c>
      <c r="E34" s="18">
        <f>'Розшифровка 2 до формування'!E23+'Розшифровка 2 до формування'!E167+'Розшифровка 2 до формування'!E204</f>
        <v>665</v>
      </c>
      <c r="F34" s="18">
        <f>'Розшифровка 2 до формування'!F23+'Розшифровка 2 до формування'!F167+'Розшифровка 2 до формування'!F204</f>
        <v>87.3</v>
      </c>
      <c r="G34" s="15">
        <f t="shared" si="4"/>
        <v>-577.70000000000005</v>
      </c>
      <c r="H34" s="15">
        <f t="shared" si="5"/>
        <v>13.12781954887218</v>
      </c>
    </row>
    <row r="35" spans="1:14" ht="29.25" customHeight="1">
      <c r="A35" s="178"/>
      <c r="B35" s="17" t="s">
        <v>287</v>
      </c>
      <c r="C35" s="178"/>
      <c r="D35" s="18">
        <f>'Розшифровка 2 до формування'!D24</f>
        <v>0</v>
      </c>
      <c r="E35" s="18">
        <f>'Розшифровка 2 до формування'!E24</f>
        <v>212.4</v>
      </c>
      <c r="F35" s="18">
        <f>'Розшифровка 2 до формування'!F24</f>
        <v>0</v>
      </c>
      <c r="G35" s="15">
        <f t="shared" si="4"/>
        <v>-212.4</v>
      </c>
      <c r="H35" s="15">
        <f t="shared" si="5"/>
        <v>0</v>
      </c>
    </row>
    <row r="36" spans="1:14" ht="27.75" customHeight="1">
      <c r="A36" s="178"/>
      <c r="B36" s="17" t="s">
        <v>285</v>
      </c>
      <c r="C36" s="178"/>
      <c r="D36" s="18">
        <f>'Розшифровка 2 до формування'!D25+'Розшифровка 2 до формування'!D205</f>
        <v>115.9</v>
      </c>
      <c r="E36" s="18">
        <f>'Розшифровка 2 до формування'!E25+'Розшифровка 2 до формування'!E205</f>
        <v>1205</v>
      </c>
      <c r="F36" s="18">
        <f>'Розшифровка 2 до формування'!F25+'Розшифровка 2 до формування'!F205</f>
        <v>386.5</v>
      </c>
      <c r="G36" s="15">
        <f t="shared" si="4"/>
        <v>-818.5</v>
      </c>
      <c r="H36" s="15">
        <f t="shared" si="5"/>
        <v>32.074688796680498</v>
      </c>
    </row>
    <row r="37" spans="1:14" ht="43.5" customHeight="1">
      <c r="A37" s="178"/>
      <c r="B37" s="17" t="s">
        <v>174</v>
      </c>
      <c r="C37" s="178"/>
      <c r="D37" s="18">
        <f>'Розшифровка 2 до формування'!D28+'Розшифровка 2 до формування'!D70+'Розшифровка 2 до формування'!D109+'Розшифровка 2 до формування'!D169+'Розшифровка 2 до формування'!D208+'Розшифровка 2 до формування'!D229</f>
        <v>11.200000000000001</v>
      </c>
      <c r="E37" s="18">
        <f>'Розшифровка 2 до формування'!E28+'Розшифровка 2 до формування'!E70+'Розшифровка 2 до формування'!E109+'Розшифровка 2 до формування'!E169+'Розшифровка 2 до формування'!E208+'Розшифровка 2 до формування'!E229</f>
        <v>220</v>
      </c>
      <c r="F37" s="18">
        <f>'Розшифровка 2 до формування'!F28+'Розшифровка 2 до формування'!F70+'Розшифровка 2 до формування'!F109+'Розшифровка 2 до формування'!F169+'Розшифровка 2 до формування'!F208+'Розшифровка 2 до формування'!F229</f>
        <v>208.3</v>
      </c>
      <c r="G37" s="15">
        <f t="shared" si="4"/>
        <v>-11.699999999999989</v>
      </c>
      <c r="H37" s="15">
        <f t="shared" si="5"/>
        <v>94.681818181818187</v>
      </c>
    </row>
    <row r="38" spans="1:14" ht="40.5" customHeight="1">
      <c r="A38" s="178"/>
      <c r="B38" s="264" t="s">
        <v>148</v>
      </c>
      <c r="C38" s="178"/>
      <c r="D38" s="18">
        <f>'Розшифровка 2 до формування'!D26+'Розшифровка 2 до формування'!D67+'Розшифровка 2 до формування'!D135+'Розшифровка 2 до формування'!D168+'Розшифровка 2 до формування'!D207</f>
        <v>502.2</v>
      </c>
      <c r="E38" s="18">
        <f>'Розшифровка 2 до формування'!E26+'Розшифровка 2 до формування'!E67+'Розшифровка 2 до формування'!E135+'Розшифровка 2 до формування'!E168+'Розшифровка 2 до формування'!E207</f>
        <v>564.6</v>
      </c>
      <c r="F38" s="18">
        <f>'Розшифровка 2 до формування'!F26+'Розшифровка 2 до формування'!F67+'Розшифровка 2 до формування'!F135+'Розшифровка 2 до формування'!F168+'Розшифровка 2 до формування'!F207</f>
        <v>404.90000000000003</v>
      </c>
      <c r="G38" s="15">
        <f t="shared" si="4"/>
        <v>-159.69999999999999</v>
      </c>
      <c r="H38" s="15">
        <f t="shared" si="5"/>
        <v>71.714488133191651</v>
      </c>
    </row>
    <row r="39" spans="1:14" ht="28.5" customHeight="1">
      <c r="A39" s="23"/>
      <c r="B39" s="264" t="s">
        <v>149</v>
      </c>
      <c r="C39" s="12"/>
      <c r="D39" s="18">
        <f>'Розшифровка 2 до формування'!D27</f>
        <v>41.6</v>
      </c>
      <c r="E39" s="18">
        <f>'Розшифровка 2 до формування'!E27</f>
        <v>100</v>
      </c>
      <c r="F39" s="18">
        <f>'Розшифровка 2 до формування'!F27</f>
        <v>91.6</v>
      </c>
      <c r="G39" s="15">
        <f t="shared" si="4"/>
        <v>-8.4000000000000057</v>
      </c>
      <c r="H39" s="15">
        <f t="shared" si="5"/>
        <v>91.6</v>
      </c>
    </row>
    <row r="40" spans="1:14" ht="28.5" customHeight="1">
      <c r="A40" s="23"/>
      <c r="B40" s="264" t="s">
        <v>222</v>
      </c>
      <c r="C40" s="12"/>
      <c r="D40" s="18">
        <f>'Розшифровка 2 до формування'!D68+'Розшифровка 2 до формування'!D170</f>
        <v>18.3</v>
      </c>
      <c r="E40" s="18">
        <f>'Розшифровка 2 до формування'!E68+'Розшифровка 2 до формування'!E170</f>
        <v>22</v>
      </c>
      <c r="F40" s="18">
        <f>'Розшифровка 2 до формування'!F68+'Розшифровка 2 до формування'!F170</f>
        <v>28.8</v>
      </c>
      <c r="G40" s="15">
        <f t="shared" si="4"/>
        <v>6.8000000000000007</v>
      </c>
      <c r="H40" s="15">
        <f t="shared" si="5"/>
        <v>130.90909090909091</v>
      </c>
    </row>
    <row r="41" spans="1:14" ht="27" customHeight="1">
      <c r="A41" s="23"/>
      <c r="B41" s="264" t="s">
        <v>161</v>
      </c>
      <c r="C41" s="12"/>
      <c r="D41" s="18">
        <f>'Розшифровка 2 до формування'!D33+'Розшифровка 2 до формування'!D69+'Розшифровка 2 до формування'!D231</f>
        <v>1.8</v>
      </c>
      <c r="E41" s="18">
        <f>'Розшифровка 2 до формування'!E33+'Розшифровка 2 до формування'!E69+'Розшифровка 2 до формування'!E231</f>
        <v>1</v>
      </c>
      <c r="F41" s="18">
        <f>'Розшифровка 2 до формування'!F33+'Розшифровка 2 до формування'!F69+'Розшифровка 2 до формування'!F231</f>
        <v>7.7</v>
      </c>
      <c r="G41" s="15">
        <f t="shared" si="4"/>
        <v>6.7</v>
      </c>
      <c r="H41" s="15">
        <f t="shared" si="5"/>
        <v>770</v>
      </c>
    </row>
    <row r="42" spans="1:14" ht="28.5" customHeight="1">
      <c r="A42" s="23"/>
      <c r="B42" s="17" t="s">
        <v>194</v>
      </c>
      <c r="C42" s="12"/>
      <c r="D42" s="18">
        <f>'Розшифровка 2 до формування'!D34+'Розшифровка 2 до формування'!D71+'Розшифровка 2 до формування'!D110+'Розшифровка 2 до формування'!D171+'Розшифровка 2 до формування'!D232</f>
        <v>67.400000000000006</v>
      </c>
      <c r="E42" s="18">
        <f>'Розшифровка 2 до формування'!E34+'Розшифровка 2 до формування'!E71+'Розшифровка 2 до формування'!E110+'Розшифровка 2 до формування'!E171+'Розшифровка 2 до формування'!E232</f>
        <v>80</v>
      </c>
      <c r="F42" s="18">
        <f>'Розшифровка 2 до формування'!F34+'Розшифровка 2 до формування'!F71+'Розшифровка 2 до формування'!F110+'Розшифровка 2 до формування'!F171+'Розшифровка 2 до формування'!F232</f>
        <v>136.9</v>
      </c>
      <c r="G42" s="15">
        <f t="shared" si="4"/>
        <v>56.900000000000006</v>
      </c>
      <c r="H42" s="15">
        <f t="shared" si="5"/>
        <v>171.12500000000003</v>
      </c>
    </row>
    <row r="43" spans="1:14" ht="28.5" customHeight="1">
      <c r="A43" s="23"/>
      <c r="B43" s="17" t="s">
        <v>151</v>
      </c>
      <c r="C43" s="12"/>
      <c r="D43" s="18">
        <f>'Розшифровка 2 до формування'!D227</f>
        <v>5.3</v>
      </c>
      <c r="E43" s="18">
        <f>'Розшифровка 2 до формування'!E227</f>
        <v>0</v>
      </c>
      <c r="F43" s="18">
        <f>'Розшифровка 2 до формування'!F227</f>
        <v>22.400000000000002</v>
      </c>
      <c r="G43" s="15">
        <f t="shared" si="4"/>
        <v>22.400000000000002</v>
      </c>
      <c r="H43" s="53" t="e">
        <f t="shared" si="5"/>
        <v>#DIV/0!</v>
      </c>
    </row>
    <row r="44" spans="1:14" ht="39" customHeight="1">
      <c r="A44" s="23"/>
      <c r="B44" s="264" t="s">
        <v>163</v>
      </c>
      <c r="C44" s="12"/>
      <c r="D44" s="18">
        <f>'Розшифровка 2 до формування'!D30+'Розшифровка 2 до формування'!D72+'Розшифровка 2 до формування'!D111+'Розшифровка 2 до формування'!D172+'Розшифровка 2 до формування'!D228</f>
        <v>9</v>
      </c>
      <c r="E44" s="18">
        <f>'Розшифровка 2 до формування'!E30+'Розшифровка 2 до формування'!E72+'Розшифровка 2 до формування'!E111+'Розшифровка 2 до формування'!E172+'Розшифровка 2 до формування'!E228</f>
        <v>80</v>
      </c>
      <c r="F44" s="18">
        <f>'Розшифровка 2 до формування'!F30+'Розшифровка 2 до формування'!F72+'Розшифровка 2 до формування'!F111+'Розшифровка 2 до формування'!F172+'Розшифровка 2 до формування'!F228</f>
        <v>38.700000000000003</v>
      </c>
      <c r="G44" s="15">
        <f t="shared" si="4"/>
        <v>-41.3</v>
      </c>
      <c r="H44" s="15">
        <f t="shared" si="5"/>
        <v>48.375</v>
      </c>
    </row>
    <row r="45" spans="1:14" ht="45.75" customHeight="1">
      <c r="A45" s="23"/>
      <c r="B45" s="264" t="s">
        <v>165</v>
      </c>
      <c r="C45" s="12"/>
      <c r="D45" s="18">
        <f>'Розшифровка 2 до формування'!D29</f>
        <v>0</v>
      </c>
      <c r="E45" s="18">
        <f>'Розшифровка 2 до формування'!E29</f>
        <v>100</v>
      </c>
      <c r="F45" s="18">
        <f>'Розшифровка 2 до формування'!F29</f>
        <v>293.2</v>
      </c>
      <c r="G45" s="15">
        <f t="shared" si="4"/>
        <v>193.2</v>
      </c>
      <c r="H45" s="15">
        <f t="shared" si="5"/>
        <v>293.2</v>
      </c>
    </row>
    <row r="46" spans="1:14" ht="54.75" customHeight="1">
      <c r="A46" s="23"/>
      <c r="B46" s="264" t="s">
        <v>441</v>
      </c>
      <c r="C46" s="12"/>
      <c r="D46" s="18">
        <f>'Розшифровка 2 до формування'!D76+'Розшифровка 2 до формування'!D230</f>
        <v>0.3</v>
      </c>
      <c r="E46" s="18">
        <f>'Розшифровка 2 до формування'!E76+'Розшифровка 2 до формування'!E230</f>
        <v>6</v>
      </c>
      <c r="F46" s="18">
        <f>'Розшифровка 2 до формування'!F76+'Розшифровка 2 до формування'!F230</f>
        <v>0</v>
      </c>
      <c r="G46" s="15">
        <f t="shared" si="4"/>
        <v>-6</v>
      </c>
      <c r="H46" s="15">
        <f t="shared" si="5"/>
        <v>0</v>
      </c>
    </row>
    <row r="47" spans="1:14" ht="27.75" customHeight="1">
      <c r="A47" s="23"/>
      <c r="B47" s="268" t="s">
        <v>195</v>
      </c>
      <c r="C47" s="12"/>
      <c r="D47" s="18">
        <f>'Розшифровка 2 до формування'!D31+'Розшифровка 2 до формування'!D74+'Розшифровка 2 до формування'!D113+'Розшифровка 2 до формування'!D175+'Розшифровка 2 до формування'!D206</f>
        <v>404.1</v>
      </c>
      <c r="E47" s="18">
        <f>'Розшифровка 2 до формування'!E31+'Розшифровка 2 до формування'!E74+'Розшифровка 2 до формування'!E113+'Розшифровка 2 до формування'!E175+'Розшифровка 2 до формування'!E206</f>
        <v>840</v>
      </c>
      <c r="F47" s="18">
        <f>'Розшифровка 2 до формування'!F31+'Розшифровка 2 до формування'!F74+'Розшифровка 2 до формування'!F113+'Розшифровка 2 до формування'!F175+'Розшифровка 2 до формування'!F206</f>
        <v>1340.7</v>
      </c>
      <c r="G47" s="15">
        <f t="shared" si="4"/>
        <v>500.70000000000005</v>
      </c>
      <c r="H47" s="15">
        <f t="shared" si="5"/>
        <v>159.60714285714286</v>
      </c>
      <c r="N47" s="20"/>
    </row>
    <row r="48" spans="1:14" ht="69.75" customHeight="1">
      <c r="A48" s="23"/>
      <c r="B48" s="17" t="s">
        <v>321</v>
      </c>
      <c r="C48" s="12"/>
      <c r="D48" s="18">
        <f>'Розшифровка 2 до формування'!D75+'Розшифровка 2 до формування'!D114+'Розшифровка 2 до формування'!D174</f>
        <v>0</v>
      </c>
      <c r="E48" s="18">
        <f>'Розшифровка 2 до формування'!E75+'Розшифровка 2 до формування'!E114+'Розшифровка 2 до формування'!E174</f>
        <v>388.1</v>
      </c>
      <c r="F48" s="18">
        <f>'Розшифровка 2 до формування'!F75+'Розшифровка 2 до формування'!F114+'Розшифровка 2 до формування'!F174</f>
        <v>114.3</v>
      </c>
      <c r="G48" s="15">
        <f t="shared" si="4"/>
        <v>-273.8</v>
      </c>
      <c r="H48" s="15">
        <f t="shared" si="5"/>
        <v>29.451172378253027</v>
      </c>
      <c r="N48" s="20"/>
    </row>
    <row r="49" spans="1:12" ht="30.75" customHeight="1">
      <c r="A49" s="23"/>
      <c r="B49" s="17" t="s">
        <v>206</v>
      </c>
      <c r="C49" s="12"/>
      <c r="D49" s="18">
        <f>'Розшифровка 2 до формування'!D73+'Розшифровка 2 до формування'!D112+'Розшифровка 2 до формування'!D173+'Розшифровка 2 до формування'!D233</f>
        <v>21.5</v>
      </c>
      <c r="E49" s="18">
        <f>'Розшифровка 2 до формування'!E73+'Розшифровка 2 до формування'!E112+'Розшифровка 2 до формування'!E173+'Розшифровка 2 до формування'!E233</f>
        <v>25</v>
      </c>
      <c r="F49" s="18">
        <f>'Розшифровка 2 до формування'!F73+'Розшифровка 2 до формування'!F112+'Розшифровка 2 до формування'!F173+'Розшифровка 2 до формування'!F233</f>
        <v>18.900000000000002</v>
      </c>
      <c r="G49" s="15">
        <f t="shared" si="4"/>
        <v>-6.0999999999999979</v>
      </c>
      <c r="H49" s="15">
        <f t="shared" si="5"/>
        <v>75.600000000000009</v>
      </c>
    </row>
    <row r="50" spans="1:12" ht="30.75" customHeight="1">
      <c r="A50" s="23"/>
      <c r="B50" s="17" t="s">
        <v>156</v>
      </c>
      <c r="C50" s="12"/>
      <c r="D50" s="18">
        <f>'Розшифровка 2 до формування'!D32</f>
        <v>47.6</v>
      </c>
      <c r="E50" s="18">
        <f>'Розшифровка 2 до формування'!E32</f>
        <v>0</v>
      </c>
      <c r="F50" s="18">
        <f>'Розшифровка 2 до формування'!F32</f>
        <v>0</v>
      </c>
      <c r="G50" s="15">
        <f t="shared" si="4"/>
        <v>0</v>
      </c>
      <c r="H50" s="53" t="e">
        <f t="shared" si="5"/>
        <v>#DIV/0!</v>
      </c>
    </row>
    <row r="51" spans="1:12" ht="30" customHeight="1">
      <c r="A51" s="23"/>
      <c r="B51" s="264" t="s">
        <v>167</v>
      </c>
      <c r="C51" s="12"/>
      <c r="D51" s="18">
        <f>'Розшифровка 2 до формування'!D79+'Розшифровка 2 до формування'!D115+'Розшифровка 2 до формування'!D136</f>
        <v>3631.6000000000004</v>
      </c>
      <c r="E51" s="18">
        <f>'Розшифровка 2 до формування'!E79+'Розшифровка 2 до формування'!E115+'Розшифровка 2 до формування'!E136</f>
        <v>4641.2</v>
      </c>
      <c r="F51" s="18">
        <f>'Розшифровка 2 до формування'!F79+'Розшифровка 2 до формування'!F115+'Розшифровка 2 до формування'!F136</f>
        <v>4791.3</v>
      </c>
      <c r="G51" s="15">
        <f t="shared" si="4"/>
        <v>150.10000000000036</v>
      </c>
      <c r="H51" s="15">
        <f t="shared" si="5"/>
        <v>103.23407739377748</v>
      </c>
    </row>
    <row r="52" spans="1:12" ht="31.5" customHeight="1">
      <c r="A52" s="23"/>
      <c r="B52" s="267" t="s">
        <v>168</v>
      </c>
      <c r="C52" s="12"/>
      <c r="D52" s="18">
        <f>'Розшифровка 2 до формування'!D80+'Розшифровка 2 до формування'!D116+'Розшифровка 2 до формування'!D137</f>
        <v>288.7</v>
      </c>
      <c r="E52" s="18">
        <f>'Розшифровка 2 до формування'!E80+'Розшифровка 2 до формування'!E116+'Розшифровка 2 до формування'!E137</f>
        <v>447.1</v>
      </c>
      <c r="F52" s="18">
        <f>'Розшифровка 2 до формування'!F80+'Розшифровка 2 до формування'!F116+'Розшифровка 2 до формування'!F137</f>
        <v>447.90000000000003</v>
      </c>
      <c r="G52" s="15">
        <f t="shared" si="4"/>
        <v>0.80000000000001137</v>
      </c>
      <c r="H52" s="15">
        <f t="shared" si="5"/>
        <v>100.17893088794455</v>
      </c>
      <c r="K52" s="29"/>
    </row>
    <row r="53" spans="1:12" ht="32.25" customHeight="1">
      <c r="A53" s="23"/>
      <c r="B53" s="267" t="s">
        <v>169</v>
      </c>
      <c r="C53" s="12"/>
      <c r="D53" s="18">
        <f>'Розшифровка 2 до формування'!D81+'Розшифровка 2 до формування'!D117+'Розшифровка 2 до формування'!D138</f>
        <v>1334.1000000000001</v>
      </c>
      <c r="E53" s="18">
        <f>'Розшифровка 2 до формування'!E81+'Розшифровка 2 до формування'!E117+'Розшифровка 2 до формування'!E138</f>
        <v>1828.3</v>
      </c>
      <c r="F53" s="18">
        <f>'Розшифровка 2 до формування'!F81+'Розшифровка 2 до формування'!F117+'Розшифровка 2 до формування'!F138</f>
        <v>1722</v>
      </c>
      <c r="G53" s="15">
        <f t="shared" si="4"/>
        <v>-106.29999999999995</v>
      </c>
      <c r="H53" s="15">
        <f t="shared" si="5"/>
        <v>94.185855712957391</v>
      </c>
      <c r="K53" s="29"/>
    </row>
    <row r="54" spans="1:12" ht="27.75" customHeight="1">
      <c r="A54" s="23"/>
      <c r="B54" s="267" t="s">
        <v>170</v>
      </c>
      <c r="C54" s="12"/>
      <c r="D54" s="18">
        <f>'Розшифровка 2 до формування'!D82+'Розшифровка 2 до формування'!D139+'Розшифровка 2 до формування'!D209</f>
        <v>139.80000000000001</v>
      </c>
      <c r="E54" s="18">
        <f>'Розшифровка 2 до формування'!E82+'Розшифровка 2 до формування'!E139+'Розшифровка 2 до формування'!E209</f>
        <v>218.4</v>
      </c>
      <c r="F54" s="18">
        <f>'Розшифровка 2 до формування'!F82+'Розшифровка 2 до формування'!F139+'Розшифровка 2 до формування'!F209</f>
        <v>220.6</v>
      </c>
      <c r="G54" s="15">
        <f t="shared" si="4"/>
        <v>2.1999999999999886</v>
      </c>
      <c r="H54" s="15">
        <f t="shared" si="5"/>
        <v>101.007326007326</v>
      </c>
      <c r="K54" s="29"/>
    </row>
    <row r="55" spans="1:12" ht="33.75" customHeight="1">
      <c r="A55" s="23"/>
      <c r="B55" s="21" t="s">
        <v>445</v>
      </c>
      <c r="C55" s="12"/>
      <c r="D55" s="18">
        <f>'Розшифровка 2 до формування'!D77</f>
        <v>0</v>
      </c>
      <c r="E55" s="18">
        <f>'Розшифровка 2 до формування'!E77</f>
        <v>10</v>
      </c>
      <c r="F55" s="18">
        <f>'Розшифровка 2 до формування'!F77</f>
        <v>0</v>
      </c>
      <c r="G55" s="15">
        <f t="shared" si="4"/>
        <v>-10</v>
      </c>
      <c r="H55" s="15">
        <f t="shared" si="5"/>
        <v>0</v>
      </c>
      <c r="K55" s="29"/>
    </row>
    <row r="56" spans="1:12" ht="33" customHeight="1">
      <c r="A56" s="23"/>
      <c r="B56" s="17" t="s">
        <v>207</v>
      </c>
      <c r="C56" s="12"/>
      <c r="D56" s="18">
        <f>'Розшифровка 2 до формування'!D36+'Розшифровка 2 до формування'!D83</f>
        <v>43.8</v>
      </c>
      <c r="E56" s="18">
        <f>'Розшифровка 2 до формування'!E36+'Розшифровка 2 до формування'!E83</f>
        <v>30</v>
      </c>
      <c r="F56" s="18">
        <f>'Розшифровка 2 до формування'!F36+'Розшифровка 2 до формування'!F83</f>
        <v>9.6</v>
      </c>
      <c r="G56" s="15">
        <f t="shared" si="4"/>
        <v>-20.399999999999999</v>
      </c>
      <c r="H56" s="15">
        <f t="shared" si="5"/>
        <v>32</v>
      </c>
      <c r="K56" s="29"/>
      <c r="L56" s="20"/>
    </row>
    <row r="57" spans="1:12" ht="31.5" customHeight="1">
      <c r="A57" s="23"/>
      <c r="B57" s="267" t="s">
        <v>209</v>
      </c>
      <c r="C57" s="12"/>
      <c r="D57" s="18">
        <f>'Розшифровка 2 до формування'!D78</f>
        <v>2.9</v>
      </c>
      <c r="E57" s="18">
        <f>'Розшифровка 2 до формування'!E78</f>
        <v>3</v>
      </c>
      <c r="F57" s="18">
        <f>'Розшифровка 2 до формування'!F78</f>
        <v>4</v>
      </c>
      <c r="G57" s="15">
        <f t="shared" si="4"/>
        <v>1</v>
      </c>
      <c r="H57" s="15">
        <f t="shared" si="5"/>
        <v>133.33333333333331</v>
      </c>
    </row>
    <row r="58" spans="1:12" ht="31.5" customHeight="1">
      <c r="A58" s="23"/>
      <c r="B58" s="267" t="s">
        <v>288</v>
      </c>
      <c r="C58" s="12"/>
      <c r="D58" s="18">
        <f>'Розшифровка 2 до формування'!D84+'Розшифровка 2 до формування'!D118</f>
        <v>5.6</v>
      </c>
      <c r="E58" s="18">
        <f>'Розшифровка 2 до формування'!E84+'Розшифровка 2 до формування'!E118</f>
        <v>0</v>
      </c>
      <c r="F58" s="18">
        <f>'Розшифровка 2 до формування'!F84+'Розшифровка 2 до формування'!F118</f>
        <v>37.700000000000003</v>
      </c>
      <c r="G58" s="15">
        <f t="shared" si="4"/>
        <v>37.700000000000003</v>
      </c>
      <c r="H58" s="53" t="e">
        <f t="shared" si="5"/>
        <v>#DIV/0!</v>
      </c>
    </row>
    <row r="59" spans="1:12" ht="31.5" customHeight="1">
      <c r="A59" s="23"/>
      <c r="B59" s="267" t="s">
        <v>322</v>
      </c>
      <c r="C59" s="12"/>
      <c r="D59" s="18">
        <f>'Розшифровка 2 до формування'!D35+'Розшифровка 2 до формування'!D85</f>
        <v>0</v>
      </c>
      <c r="E59" s="18">
        <f>'Розшифровка 2 до формування'!E35+'Розшифровка 2 до формування'!E85</f>
        <v>17</v>
      </c>
      <c r="F59" s="18">
        <f>'Розшифровка 2 до формування'!F35+'Розшифровка 2 до формування'!F85</f>
        <v>18.3</v>
      </c>
      <c r="G59" s="15">
        <f t="shared" si="4"/>
        <v>1.3000000000000007</v>
      </c>
      <c r="H59" s="15">
        <f t="shared" si="5"/>
        <v>107.64705882352941</v>
      </c>
    </row>
    <row r="60" spans="1:12" s="5" customFormat="1" ht="39" customHeight="1">
      <c r="A60" s="230" t="s">
        <v>82</v>
      </c>
      <c r="B60" s="230"/>
      <c r="C60" s="24"/>
      <c r="D60" s="14"/>
      <c r="E60" s="14"/>
      <c r="F60" s="14"/>
      <c r="G60" s="15"/>
      <c r="H60" s="15"/>
    </row>
    <row r="61" spans="1:12" s="5" customFormat="1" ht="32.25" customHeight="1">
      <c r="A61" s="272" t="s">
        <v>80</v>
      </c>
      <c r="B61" s="272"/>
      <c r="C61" s="178">
        <v>1021</v>
      </c>
      <c r="D61" s="14">
        <f>SUM(D62:D62)</f>
        <v>27.6</v>
      </c>
      <c r="E61" s="14">
        <f>SUM(E62:E62)</f>
        <v>0</v>
      </c>
      <c r="F61" s="14">
        <f>SUM(F62:F62)</f>
        <v>29.2</v>
      </c>
      <c r="G61" s="19">
        <f>F61-E61</f>
        <v>29.2</v>
      </c>
      <c r="H61" s="191" t="e">
        <f>(F61/E61)*100</f>
        <v>#DIV/0!</v>
      </c>
    </row>
    <row r="62" spans="1:12" s="5" customFormat="1" ht="33.75" customHeight="1">
      <c r="A62" s="178"/>
      <c r="B62" s="17" t="s">
        <v>173</v>
      </c>
      <c r="C62" s="178"/>
      <c r="D62" s="18">
        <f>'Розшифровка 2 до формування'!D39</f>
        <v>27.6</v>
      </c>
      <c r="E62" s="18">
        <f>'Розшифровка 2 до формування'!E39</f>
        <v>0</v>
      </c>
      <c r="F62" s="18">
        <f>'Розшифровка 2 до формування'!F39</f>
        <v>29.2</v>
      </c>
      <c r="G62" s="15">
        <f t="shared" ref="G62:G63" si="6">F62-E62</f>
        <v>29.2</v>
      </c>
      <c r="H62" s="53" t="e">
        <f t="shared" ref="H62:H63" si="7">(F62/E62)*100</f>
        <v>#DIV/0!</v>
      </c>
      <c r="K62" s="25"/>
    </row>
    <row r="63" spans="1:12" s="5" customFormat="1" ht="31.5" customHeight="1">
      <c r="A63" s="272" t="s">
        <v>83</v>
      </c>
      <c r="B63" s="272"/>
      <c r="C63" s="24">
        <v>1025</v>
      </c>
      <c r="D63" s="14">
        <f>SUM(D64:D82)</f>
        <v>722.20000000000016</v>
      </c>
      <c r="E63" s="273">
        <f>SUM(E64:E82)</f>
        <v>635.29999999999995</v>
      </c>
      <c r="F63" s="14">
        <f>SUM(F64:F82)</f>
        <v>837.6</v>
      </c>
      <c r="G63" s="19">
        <f t="shared" si="6"/>
        <v>202.30000000000007</v>
      </c>
      <c r="H63" s="19">
        <f t="shared" si="7"/>
        <v>131.84322367385488</v>
      </c>
      <c r="J63" s="25"/>
    </row>
    <row r="64" spans="1:12" s="5" customFormat="1" ht="31.5" customHeight="1">
      <c r="A64" s="178"/>
      <c r="B64" s="17" t="s">
        <v>151</v>
      </c>
      <c r="C64" s="24"/>
      <c r="D64" s="18">
        <f>'Розшифровка 2 до формування'!D88+'Розшифровка 2 до формування'!D121+'Розшифровка 2 до формування'!D178</f>
        <v>78</v>
      </c>
      <c r="E64" s="18">
        <f>'Розшифровка 2 до формування'!E88+'Розшифровка 2 до формування'!E121+'Розшифровка 2 до формування'!E178</f>
        <v>100</v>
      </c>
      <c r="F64" s="18">
        <f>'Розшифровка 2 до формування'!F88+'Розшифровка 2 до формування'!F121+'Розшифровка 2 до формування'!F178</f>
        <v>180.3</v>
      </c>
      <c r="G64" s="15">
        <f t="shared" ref="G64" si="8">F64-E64</f>
        <v>80.300000000000011</v>
      </c>
      <c r="H64" s="15">
        <f t="shared" ref="H64" si="9">(F64/E64)*100</f>
        <v>180.3</v>
      </c>
      <c r="J64" s="25"/>
    </row>
    <row r="65" spans="1:13" s="5" customFormat="1" ht="28.5" customHeight="1">
      <c r="A65" s="178"/>
      <c r="B65" s="17" t="s">
        <v>156</v>
      </c>
      <c r="C65" s="24"/>
      <c r="D65" s="18">
        <f>'Розшифровка 2 до формування'!D43+'Розшифровка 2 до формування'!D90+'Розшифровка 2 до формування'!D181+'Розшифровка 2 до формування'!D242</f>
        <v>14.7</v>
      </c>
      <c r="E65" s="18">
        <f>'Розшифровка 2 до формування'!E43+'Розшифровка 2 до формування'!E90+'Розшифровка 2 до формування'!E181+'Розшифровка 2 до формування'!E242</f>
        <v>52</v>
      </c>
      <c r="F65" s="18">
        <f>'Розшифровка 2 до формування'!F43+'Розшифровка 2 до формування'!F90+'Розшифровка 2 до формування'!F181+'Розшифровка 2 до формування'!F242</f>
        <v>59.8</v>
      </c>
      <c r="G65" s="15">
        <f t="shared" ref="G65:G94" si="10">F65-E65</f>
        <v>7.7999999999999972</v>
      </c>
      <c r="H65" s="15">
        <f t="shared" ref="H65:H94" si="11">(F65/E65)*100</f>
        <v>114.99999999999999</v>
      </c>
      <c r="M65" s="25"/>
    </row>
    <row r="66" spans="1:13" s="5" customFormat="1" ht="52.5" customHeight="1">
      <c r="A66" s="178"/>
      <c r="B66" s="17" t="s">
        <v>165</v>
      </c>
      <c r="C66" s="24"/>
      <c r="D66" s="18">
        <f>'Розшифровка 2 до формування'!D44+'Розшифровка 2 до формування'!D91+'Розшифровка 2 до формування'!D123+'Розшифровка 2 до формування'!D180+'Розшифровка 2 до формування'!D236</f>
        <v>52.4</v>
      </c>
      <c r="E66" s="18">
        <f>'Розшифровка 2 до формування'!E44+'Розшифровка 2 до формування'!E91+'Розшифровка 2 до формування'!E123+'Розшифровка 2 до формування'!E180+'Розшифровка 2 до формування'!E236</f>
        <v>200</v>
      </c>
      <c r="F66" s="18">
        <f>'Розшифровка 2 до формування'!F44+'Розшифровка 2 до формування'!F91+'Розшифровка 2 до формування'!F123+'Розшифровка 2 до формування'!F180+'Розшифровка 2 до формування'!F236</f>
        <v>129.29999999999998</v>
      </c>
      <c r="G66" s="15">
        <f t="shared" si="10"/>
        <v>-70.700000000000017</v>
      </c>
      <c r="H66" s="15">
        <f t="shared" si="11"/>
        <v>64.649999999999991</v>
      </c>
    </row>
    <row r="67" spans="1:13" s="5" customFormat="1" ht="44.25" customHeight="1">
      <c r="A67" s="178"/>
      <c r="B67" s="17" t="s">
        <v>163</v>
      </c>
      <c r="C67" s="24"/>
      <c r="D67" s="18">
        <f>'Розшифровка 2 до формування'!D89+'Розшифровка 2 до формування'!D122+'Розшифровка 2 до формування'!D179+'Розшифровка 2 до формування'!D240</f>
        <v>45.2</v>
      </c>
      <c r="E67" s="18">
        <f>'Розшифровка 2 до формування'!E89+'Розшифровка 2 до формування'!E122+'Розшифровка 2 до формування'!E179+'Розшифровка 2 до формування'!E240</f>
        <v>40</v>
      </c>
      <c r="F67" s="18">
        <f>'Розшифровка 2 до формування'!F89+'Розшифровка 2 до формування'!F122+'Розшифровка 2 до формування'!F179+'Розшифровка 2 до формування'!F240</f>
        <v>41.6</v>
      </c>
      <c r="G67" s="15">
        <f t="shared" si="10"/>
        <v>1.6000000000000014</v>
      </c>
      <c r="H67" s="15">
        <f t="shared" si="11"/>
        <v>104</v>
      </c>
    </row>
    <row r="68" spans="1:13" s="5" customFormat="1" ht="28.5" customHeight="1">
      <c r="A68" s="178"/>
      <c r="B68" s="17" t="s">
        <v>185</v>
      </c>
      <c r="C68" s="24"/>
      <c r="D68" s="18">
        <f>'Розшифровка 2 до формування'!D47+'Розшифровка 2 до формування'!D96+'Розшифровка 2 до формування'!D187+'Розшифровка 2 до формування'!D238</f>
        <v>7.3999999999999995</v>
      </c>
      <c r="E68" s="18">
        <f>'Розшифровка 2 до формування'!E47+'Розшифровка 2 до формування'!E96+'Розшифровка 2 до формування'!E187+'Розшифровка 2 до формування'!E238</f>
        <v>7.4</v>
      </c>
      <c r="F68" s="18">
        <f>'Розшифровка 2 до формування'!F47+'Розшифровка 2 до формування'!F96+'Розшифровка 2 до формування'!F187+'Розшифровка 2 до формування'!F238</f>
        <v>9.5</v>
      </c>
      <c r="G68" s="15">
        <f t="shared" si="10"/>
        <v>2.0999999999999996</v>
      </c>
      <c r="H68" s="15">
        <f t="shared" si="11"/>
        <v>128.37837837837839</v>
      </c>
    </row>
    <row r="69" spans="1:13" s="5" customFormat="1" ht="27" customHeight="1">
      <c r="A69" s="178"/>
      <c r="B69" s="17" t="s">
        <v>167</v>
      </c>
      <c r="C69" s="24"/>
      <c r="D69" s="18">
        <f>'Розшифровка 2 до формування'!D142</f>
        <v>193.6</v>
      </c>
      <c r="E69" s="18">
        <f>'Розшифровка 2 до формування'!E142</f>
        <v>103.5</v>
      </c>
      <c r="F69" s="18">
        <f>'Розшифровка 2 до формування'!F142</f>
        <v>78.099999999999994</v>
      </c>
      <c r="G69" s="15">
        <f t="shared" si="10"/>
        <v>-25.400000000000006</v>
      </c>
      <c r="H69" s="15">
        <f t="shared" si="11"/>
        <v>75.45893719806763</v>
      </c>
    </row>
    <row r="70" spans="1:13" s="5" customFormat="1" ht="28.5" customHeight="1">
      <c r="A70" s="178"/>
      <c r="B70" s="17" t="s">
        <v>168</v>
      </c>
      <c r="C70" s="24"/>
      <c r="D70" s="18">
        <f>'Розшифровка 2 до формування'!D143</f>
        <v>3.6</v>
      </c>
      <c r="E70" s="18">
        <f>'Розшифровка 2 до формування'!E143</f>
        <v>9.9</v>
      </c>
      <c r="F70" s="18">
        <f>'Розшифровка 2 до формування'!F143</f>
        <v>9.6</v>
      </c>
      <c r="G70" s="15">
        <f t="shared" si="10"/>
        <v>-0.30000000000000071</v>
      </c>
      <c r="H70" s="15">
        <f t="shared" si="11"/>
        <v>96.969696969696955</v>
      </c>
    </row>
    <row r="71" spans="1:13" s="5" customFormat="1" ht="30" customHeight="1">
      <c r="A71" s="178"/>
      <c r="B71" s="17" t="s">
        <v>169</v>
      </c>
      <c r="C71" s="24"/>
      <c r="D71" s="18">
        <f>'Розшифровка 2 до формування'!D144</f>
        <v>30.5</v>
      </c>
      <c r="E71" s="18">
        <f>'Розшифровка 2 до формування'!E144</f>
        <v>40.700000000000003</v>
      </c>
      <c r="F71" s="18">
        <f>'Розшифровка 2 до формування'!F144</f>
        <v>43.5</v>
      </c>
      <c r="G71" s="15">
        <f t="shared" si="10"/>
        <v>2.7999999999999972</v>
      </c>
      <c r="H71" s="15">
        <f t="shared" si="11"/>
        <v>106.87960687960687</v>
      </c>
    </row>
    <row r="72" spans="1:13" s="5" customFormat="1" ht="27" customHeight="1">
      <c r="A72" s="178"/>
      <c r="B72" s="17" t="s">
        <v>170</v>
      </c>
      <c r="C72" s="24"/>
      <c r="D72" s="18">
        <f>'Розшифровка 2 до формування'!D145</f>
        <v>1.7</v>
      </c>
      <c r="E72" s="18">
        <f>'Розшифровка 2 до формування'!E145</f>
        <v>4.8</v>
      </c>
      <c r="F72" s="18">
        <f>'Розшифровка 2 до формування'!F145</f>
        <v>2</v>
      </c>
      <c r="G72" s="15">
        <f t="shared" si="10"/>
        <v>-2.8</v>
      </c>
      <c r="H72" s="15">
        <f t="shared" si="11"/>
        <v>41.666666666666671</v>
      </c>
    </row>
    <row r="73" spans="1:13" s="5" customFormat="1" ht="27" customHeight="1">
      <c r="A73" s="178"/>
      <c r="B73" s="17" t="s">
        <v>255</v>
      </c>
      <c r="C73" s="24"/>
      <c r="D73" s="18">
        <f>'Розшифровка 2 до формування'!D188</f>
        <v>0</v>
      </c>
      <c r="E73" s="18">
        <f>'Розшифровка 2 до формування'!E188</f>
        <v>5</v>
      </c>
      <c r="F73" s="18">
        <f>'Розшифровка 2 до формування'!F188</f>
        <v>0</v>
      </c>
      <c r="G73" s="15">
        <f t="shared" si="10"/>
        <v>-5</v>
      </c>
      <c r="H73" s="15">
        <f t="shared" si="11"/>
        <v>0</v>
      </c>
    </row>
    <row r="74" spans="1:13" s="5" customFormat="1" ht="31.5" customHeight="1">
      <c r="A74" s="178"/>
      <c r="B74" s="17" t="s">
        <v>166</v>
      </c>
      <c r="C74" s="24"/>
      <c r="D74" s="18">
        <f>'Розшифровка 2 до формування'!D46+'Розшифровка 2 до формування'!D237</f>
        <v>6.2</v>
      </c>
      <c r="E74" s="18">
        <f>'Розшифровка 2 до формування'!E46+'Розшифровка 2 до формування'!E237</f>
        <v>0</v>
      </c>
      <c r="F74" s="18">
        <f>'Розшифровка 2 до формування'!F46+'Розшифровка 2 до формування'!F237</f>
        <v>1.6</v>
      </c>
      <c r="G74" s="15">
        <f t="shared" si="10"/>
        <v>1.6</v>
      </c>
      <c r="H74" s="15" t="e">
        <f t="shared" si="11"/>
        <v>#DIV/0!</v>
      </c>
    </row>
    <row r="75" spans="1:13" s="5" customFormat="1" ht="31.5" customHeight="1">
      <c r="A75" s="178"/>
      <c r="B75" s="17" t="s">
        <v>286</v>
      </c>
      <c r="C75" s="24"/>
      <c r="D75" s="18">
        <f>'Розшифровка 2 до формування'!D93+'Розшифровка 2 до формування'!D126</f>
        <v>39.799999999999997</v>
      </c>
      <c r="E75" s="18">
        <f>'Розшифровка 2 до формування'!E93+'Розшифровка 2 до формування'!E126</f>
        <v>0</v>
      </c>
      <c r="F75" s="18">
        <f>'Розшифровка 2 до формування'!F93+'Розшифровка 2 до формування'!F126</f>
        <v>3.7999999999999989</v>
      </c>
      <c r="G75" s="15">
        <f t="shared" si="10"/>
        <v>3.7999999999999989</v>
      </c>
      <c r="H75" s="15" t="e">
        <f t="shared" si="11"/>
        <v>#DIV/0!</v>
      </c>
    </row>
    <row r="76" spans="1:13" s="5" customFormat="1" ht="28.5" customHeight="1">
      <c r="A76" s="178"/>
      <c r="B76" s="17" t="s">
        <v>171</v>
      </c>
      <c r="C76" s="24"/>
      <c r="D76" s="18">
        <f>'Розшифровка 2 до формування'!D95+'Розшифровка 2 до формування'!D184</f>
        <v>1.1000000000000001</v>
      </c>
      <c r="E76" s="18">
        <f>'Розшифровка 2 до формування'!E95+'Розшифровка 2 до формування'!E184</f>
        <v>0</v>
      </c>
      <c r="F76" s="18">
        <f>'Розшифровка 2 до формування'!F95+'Розшифровка 2 до формування'!F184</f>
        <v>28.9</v>
      </c>
      <c r="G76" s="15">
        <f t="shared" si="10"/>
        <v>28.9</v>
      </c>
      <c r="H76" s="15" t="e">
        <f t="shared" si="11"/>
        <v>#DIV/0!</v>
      </c>
    </row>
    <row r="77" spans="1:13" s="5" customFormat="1" ht="28.5" customHeight="1">
      <c r="A77" s="178"/>
      <c r="B77" s="17" t="s">
        <v>248</v>
      </c>
      <c r="C77" s="24"/>
      <c r="D77" s="18">
        <f>'Розшифровка 2 до формування'!D94+'Розшифровка 2 до формування'!D125+'Розшифровка 2 до формування'!D183</f>
        <v>3.6</v>
      </c>
      <c r="E77" s="18">
        <f>'Розшифровка 2 до формування'!E94+'Розшифровка 2 до формування'!E125+'Розшифровка 2 до формування'!E183</f>
        <v>0</v>
      </c>
      <c r="F77" s="18">
        <f>'Розшифровка 2 до формування'!F94+'Розшифровка 2 до формування'!F125+'Розшифровка 2 до формування'!F183</f>
        <v>37</v>
      </c>
      <c r="G77" s="15">
        <f t="shared" si="10"/>
        <v>37</v>
      </c>
      <c r="H77" s="15" t="e">
        <f t="shared" si="11"/>
        <v>#DIV/0!</v>
      </c>
    </row>
    <row r="78" spans="1:13" s="5" customFormat="1" ht="31.5" customHeight="1">
      <c r="A78" s="178"/>
      <c r="B78" s="17" t="s">
        <v>243</v>
      </c>
      <c r="C78" s="24"/>
      <c r="D78" s="18">
        <f>'Розшифровка 2 до формування'!D92+'Розшифровка 2 до формування'!D124+'Розшифровка 2 до формування'!D182+'Розшифровка 2 до формування'!D241</f>
        <v>14.3</v>
      </c>
      <c r="E78" s="18">
        <f>'Розшифровка 2 до формування'!E92+'Розшифровка 2 до формування'!E124+'Розшифровка 2 до формування'!E182+'Розшифровка 2 до формування'!E241</f>
        <v>72</v>
      </c>
      <c r="F78" s="18">
        <f>'Розшифровка 2 до формування'!F92+'Розшифровка 2 до формування'!F124+'Розшифровка 2 до формування'!F182+'Розшифровка 2 до формування'!F241</f>
        <v>160.1</v>
      </c>
      <c r="G78" s="15">
        <f t="shared" si="10"/>
        <v>88.1</v>
      </c>
      <c r="H78" s="15">
        <f t="shared" si="11"/>
        <v>222.36111111111109</v>
      </c>
    </row>
    <row r="79" spans="1:13" s="5" customFormat="1" ht="31.5" customHeight="1">
      <c r="A79" s="178"/>
      <c r="B79" s="17" t="s">
        <v>438</v>
      </c>
      <c r="C79" s="24"/>
      <c r="D79" s="18">
        <f>'Розшифровка 2 до формування'!D48</f>
        <v>198</v>
      </c>
      <c r="E79" s="18">
        <f>'Розшифровка 2 до формування'!E48</f>
        <v>0</v>
      </c>
      <c r="F79" s="18">
        <f>'Розшифровка 2 до формування'!F48</f>
        <v>0</v>
      </c>
      <c r="G79" s="15">
        <f t="shared" si="10"/>
        <v>0</v>
      </c>
      <c r="H79" s="15" t="e">
        <f t="shared" si="11"/>
        <v>#DIV/0!</v>
      </c>
    </row>
    <row r="80" spans="1:13" s="5" customFormat="1" ht="51" customHeight="1">
      <c r="A80" s="178"/>
      <c r="B80" s="17" t="s">
        <v>437</v>
      </c>
      <c r="C80" s="24"/>
      <c r="D80" s="18">
        <f>'Розшифровка 2 до формування'!D45</f>
        <v>23.1</v>
      </c>
      <c r="E80" s="18">
        <f>'Розшифровка 2 до формування'!E45</f>
        <v>0</v>
      </c>
      <c r="F80" s="18">
        <f>'Розшифровка 2 до формування'!F45</f>
        <v>0</v>
      </c>
      <c r="G80" s="15">
        <f t="shared" si="10"/>
        <v>0</v>
      </c>
      <c r="H80" s="15" t="e">
        <f t="shared" si="11"/>
        <v>#DIV/0!</v>
      </c>
    </row>
    <row r="81" spans="1:11" s="5" customFormat="1" ht="31.5" customHeight="1">
      <c r="A81" s="178"/>
      <c r="B81" s="17" t="s">
        <v>225</v>
      </c>
      <c r="C81" s="24"/>
      <c r="D81" s="18">
        <f>'Розшифровка 2 до формування'!D185</f>
        <v>0</v>
      </c>
      <c r="E81" s="18">
        <f>'Розшифровка 2 до формування'!E185</f>
        <v>0</v>
      </c>
      <c r="F81" s="18">
        <f>'Розшифровка 2 до формування'!F185</f>
        <v>7</v>
      </c>
      <c r="G81" s="15">
        <f t="shared" si="10"/>
        <v>7</v>
      </c>
      <c r="H81" s="15" t="e">
        <f t="shared" si="11"/>
        <v>#DIV/0!</v>
      </c>
    </row>
    <row r="82" spans="1:11" s="5" customFormat="1" ht="31.5" customHeight="1">
      <c r="A82" s="178"/>
      <c r="B82" s="17" t="s">
        <v>247</v>
      </c>
      <c r="C82" s="24"/>
      <c r="D82" s="18">
        <f>'Розшифровка 2 до формування'!D186+'Розшифровка 2 до формування'!D239</f>
        <v>9</v>
      </c>
      <c r="E82" s="18">
        <f>'Розшифровка 2 до формування'!E186+'Розшифровка 2 до формування'!E239</f>
        <v>0</v>
      </c>
      <c r="F82" s="18">
        <f>'Розшифровка 2 до формування'!F186+'Розшифровка 2 до формування'!F239</f>
        <v>45.5</v>
      </c>
      <c r="G82" s="15">
        <f t="shared" si="10"/>
        <v>45.5</v>
      </c>
      <c r="H82" s="15" t="e">
        <f t="shared" si="11"/>
        <v>#DIV/0!</v>
      </c>
    </row>
    <row r="83" spans="1:11" s="5" customFormat="1" ht="37.5" customHeight="1">
      <c r="A83" s="230" t="s">
        <v>120</v>
      </c>
      <c r="B83" s="230"/>
      <c r="C83" s="24"/>
      <c r="D83" s="18"/>
      <c r="E83" s="14"/>
      <c r="F83" s="14"/>
      <c r="G83" s="15"/>
      <c r="H83" s="15"/>
    </row>
    <row r="84" spans="1:11" s="5" customFormat="1" ht="37.5" customHeight="1">
      <c r="A84" s="230" t="s">
        <v>93</v>
      </c>
      <c r="B84" s="230"/>
      <c r="C84" s="24">
        <v>1035</v>
      </c>
      <c r="D84" s="14">
        <f>SUM(D85:D92)</f>
        <v>100.30000000000001</v>
      </c>
      <c r="E84" s="14">
        <f>SUM(E85:E92)</f>
        <v>276.60000000000002</v>
      </c>
      <c r="F84" s="14">
        <f>SUM(F85:F92)</f>
        <v>318.10000000000002</v>
      </c>
      <c r="G84" s="19">
        <f t="shared" si="10"/>
        <v>41.5</v>
      </c>
      <c r="H84" s="19">
        <f t="shared" si="11"/>
        <v>115.00361532899494</v>
      </c>
      <c r="I84" s="5">
        <f>'Розшифровка 2 до формування'!M29</f>
        <v>318.10000000000002</v>
      </c>
      <c r="J84" s="25"/>
    </row>
    <row r="85" spans="1:11" s="5" customFormat="1" ht="32.25" customHeight="1">
      <c r="A85" s="202"/>
      <c r="B85" s="17" t="s">
        <v>167</v>
      </c>
      <c r="C85" s="24"/>
      <c r="D85" s="18">
        <f>'Розшифровка 2 до формування'!D156</f>
        <v>2.4</v>
      </c>
      <c r="E85" s="18">
        <v>5.2</v>
      </c>
      <c r="F85" s="18">
        <v>52.6</v>
      </c>
      <c r="G85" s="15">
        <f t="shared" si="10"/>
        <v>47.4</v>
      </c>
      <c r="H85" s="15">
        <f t="shared" si="11"/>
        <v>1011.5384615384615</v>
      </c>
      <c r="J85" s="25"/>
    </row>
    <row r="86" spans="1:11" s="5" customFormat="1" ht="31.5" customHeight="1">
      <c r="A86" s="202"/>
      <c r="B86" s="17" t="s">
        <v>168</v>
      </c>
      <c r="C86" s="24"/>
      <c r="D86" s="18">
        <f>'Розшифровка 2 до формування'!D157</f>
        <v>7.1</v>
      </c>
      <c r="E86" s="18">
        <v>4</v>
      </c>
      <c r="F86" s="18">
        <v>3.3</v>
      </c>
      <c r="G86" s="15">
        <f t="shared" si="10"/>
        <v>-0.70000000000000018</v>
      </c>
      <c r="H86" s="15">
        <f t="shared" si="11"/>
        <v>82.5</v>
      </c>
      <c r="K86" s="25"/>
    </row>
    <row r="87" spans="1:11" s="5" customFormat="1" ht="30" customHeight="1">
      <c r="A87" s="202"/>
      <c r="B87" s="17" t="s">
        <v>169</v>
      </c>
      <c r="C87" s="24"/>
      <c r="D87" s="18">
        <f>'Розшифровка 2 до формування'!D158</f>
        <v>42.1</v>
      </c>
      <c r="E87" s="18">
        <v>48.6</v>
      </c>
      <c r="F87" s="18">
        <v>64.099999999999994</v>
      </c>
      <c r="G87" s="15">
        <f t="shared" si="10"/>
        <v>15.499999999999993</v>
      </c>
      <c r="H87" s="15">
        <f t="shared" si="11"/>
        <v>131.89300411522632</v>
      </c>
    </row>
    <row r="88" spans="1:11" s="5" customFormat="1" ht="30" customHeight="1">
      <c r="A88" s="202"/>
      <c r="B88" s="17" t="s">
        <v>226</v>
      </c>
      <c r="C88" s="24"/>
      <c r="D88" s="18">
        <f>'Розшифровка 2 до формування'!D53+'Розшифровка 2 до формування'!D101+'Розшифровка 2 до формування'!D212</f>
        <v>0</v>
      </c>
      <c r="E88" s="18">
        <v>49</v>
      </c>
      <c r="F88" s="18">
        <v>66.599999999999994</v>
      </c>
      <c r="G88" s="15">
        <f t="shared" si="10"/>
        <v>17.599999999999994</v>
      </c>
      <c r="H88" s="15">
        <f t="shared" si="11"/>
        <v>135.91836734693877</v>
      </c>
    </row>
    <row r="89" spans="1:11" s="5" customFormat="1" ht="30" customHeight="1">
      <c r="A89" s="202"/>
      <c r="B89" s="17" t="s">
        <v>252</v>
      </c>
      <c r="C89" s="24"/>
      <c r="D89" s="18">
        <f>'Розшифровка 2 до формування'!D245</f>
        <v>42.8</v>
      </c>
      <c r="E89" s="18"/>
      <c r="F89" s="18">
        <v>38.5</v>
      </c>
      <c r="G89" s="15">
        <f t="shared" si="10"/>
        <v>38.5</v>
      </c>
      <c r="H89" s="53" t="e">
        <f t="shared" si="11"/>
        <v>#DIV/0!</v>
      </c>
    </row>
    <row r="90" spans="1:11" s="5" customFormat="1" ht="31.5" customHeight="1">
      <c r="A90" s="202"/>
      <c r="B90" s="17" t="s">
        <v>203</v>
      </c>
      <c r="C90" s="24"/>
      <c r="D90" s="18">
        <f>'Розшифровка 2 до формування'!D193</f>
        <v>5.9</v>
      </c>
      <c r="E90" s="18"/>
      <c r="F90" s="18">
        <v>9.8000000000000007</v>
      </c>
      <c r="G90" s="15">
        <f t="shared" si="10"/>
        <v>9.8000000000000007</v>
      </c>
      <c r="H90" s="53" t="e">
        <f t="shared" si="11"/>
        <v>#DIV/0!</v>
      </c>
    </row>
    <row r="91" spans="1:11" s="5" customFormat="1" ht="31.5" customHeight="1">
      <c r="A91" s="202"/>
      <c r="B91" s="17" t="s">
        <v>44</v>
      </c>
      <c r="C91" s="24"/>
      <c r="D91" s="18">
        <f>'Розшифровка 2 до формування'!D99</f>
        <v>0</v>
      </c>
      <c r="E91" s="18">
        <v>99.8</v>
      </c>
      <c r="F91" s="18">
        <v>83.2</v>
      </c>
      <c r="G91" s="15">
        <f t="shared" si="10"/>
        <v>-16.599999999999994</v>
      </c>
      <c r="H91" s="15">
        <f t="shared" si="11"/>
        <v>83.36673346693388</v>
      </c>
    </row>
    <row r="92" spans="1:11" s="5" customFormat="1" ht="31.5" customHeight="1">
      <c r="A92" s="202"/>
      <c r="B92" s="17" t="s">
        <v>196</v>
      </c>
      <c r="C92" s="24"/>
      <c r="D92" s="18">
        <f>'Розшифровка 2 до формування'!D100</f>
        <v>0</v>
      </c>
      <c r="E92" s="18">
        <v>70</v>
      </c>
      <c r="F92" s="18"/>
      <c r="G92" s="15">
        <f t="shared" si="10"/>
        <v>-70</v>
      </c>
      <c r="H92" s="15">
        <f t="shared" si="11"/>
        <v>0</v>
      </c>
    </row>
    <row r="93" spans="1:11" s="5" customFormat="1" ht="31.5" customHeight="1">
      <c r="A93" s="230" t="s">
        <v>97</v>
      </c>
      <c r="B93" s="230"/>
      <c r="C93" s="24">
        <v>1160</v>
      </c>
      <c r="D93" s="14">
        <f>D94</f>
        <v>0</v>
      </c>
      <c r="E93" s="14">
        <f t="shared" ref="E93:F93" si="12">E94</f>
        <v>0</v>
      </c>
      <c r="F93" s="14">
        <f t="shared" si="12"/>
        <v>124.5</v>
      </c>
      <c r="G93" s="19">
        <f t="shared" si="10"/>
        <v>124.5</v>
      </c>
      <c r="H93" s="191" t="e">
        <f t="shared" si="11"/>
        <v>#DIV/0!</v>
      </c>
    </row>
    <row r="94" spans="1:11" s="5" customFormat="1" ht="45" customHeight="1">
      <c r="A94" s="202"/>
      <c r="B94" s="17" t="s">
        <v>510</v>
      </c>
      <c r="C94" s="24"/>
      <c r="D94" s="18"/>
      <c r="E94" s="18"/>
      <c r="F94" s="18">
        <v>124.5</v>
      </c>
      <c r="G94" s="15">
        <f t="shared" si="10"/>
        <v>124.5</v>
      </c>
      <c r="H94" s="53" t="e">
        <f t="shared" si="11"/>
        <v>#DIV/0!</v>
      </c>
    </row>
    <row r="95" spans="1:11">
      <c r="B95" s="7"/>
      <c r="D95" s="104"/>
      <c r="E95" s="6"/>
      <c r="F95" s="6"/>
    </row>
    <row r="96" spans="1:11" ht="24.75" customHeight="1">
      <c r="B96" s="26" t="s">
        <v>211</v>
      </c>
      <c r="C96" s="27"/>
      <c r="D96" s="227"/>
      <c r="E96" s="227"/>
      <c r="F96" s="231" t="s">
        <v>186</v>
      </c>
      <c r="G96" s="231"/>
      <c r="H96" s="231"/>
      <c r="I96" s="28"/>
    </row>
    <row r="97" spans="2:8">
      <c r="B97" s="203" t="s">
        <v>60</v>
      </c>
      <c r="C97" s="2"/>
      <c r="D97" s="228" t="s">
        <v>66</v>
      </c>
      <c r="E97" s="228"/>
      <c r="F97" s="232" t="s">
        <v>17</v>
      </c>
      <c r="G97" s="232"/>
      <c r="H97" s="232"/>
    </row>
    <row r="98" spans="2:8">
      <c r="B98" s="7"/>
      <c r="D98" s="104"/>
      <c r="E98" s="6"/>
      <c r="F98" s="6"/>
    </row>
    <row r="99" spans="2:8">
      <c r="B99" s="7"/>
      <c r="D99" s="104"/>
      <c r="E99" s="6"/>
      <c r="F99" s="6"/>
    </row>
    <row r="100" spans="2:8">
      <c r="B100" s="7"/>
      <c r="D100" s="104"/>
      <c r="E100" s="6"/>
      <c r="F100" s="6"/>
    </row>
    <row r="101" spans="2:8">
      <c r="B101" s="7"/>
      <c r="D101" s="104"/>
      <c r="E101" s="6"/>
      <c r="F101" s="6"/>
    </row>
    <row r="102" spans="2:8">
      <c r="B102" s="7"/>
      <c r="D102" s="104"/>
      <c r="E102" s="6"/>
      <c r="F102" s="6"/>
    </row>
    <row r="103" spans="2:8">
      <c r="B103" s="7"/>
      <c r="D103" s="104"/>
      <c r="E103" s="6"/>
      <c r="F103" s="6"/>
    </row>
    <row r="104" spans="2:8">
      <c r="B104" s="7"/>
      <c r="D104" s="104"/>
      <c r="E104" s="6"/>
      <c r="F104" s="6"/>
    </row>
    <row r="105" spans="2:8">
      <c r="B105" s="7"/>
      <c r="D105" s="104"/>
      <c r="E105" s="6"/>
      <c r="F105" s="6"/>
    </row>
    <row r="106" spans="2:8">
      <c r="B106" s="7"/>
      <c r="D106" s="104"/>
      <c r="E106" s="6"/>
      <c r="F106" s="6"/>
    </row>
    <row r="107" spans="2:8">
      <c r="B107" s="7"/>
      <c r="D107" s="104"/>
      <c r="E107" s="6"/>
      <c r="F107" s="6"/>
    </row>
    <row r="108" spans="2:8">
      <c r="B108" s="7"/>
      <c r="D108" s="104"/>
      <c r="E108" s="6"/>
      <c r="F108" s="6"/>
    </row>
    <row r="109" spans="2:8">
      <c r="B109" s="7"/>
      <c r="D109" s="104"/>
      <c r="E109" s="6"/>
      <c r="F109" s="6"/>
    </row>
    <row r="110" spans="2:8">
      <c r="B110" s="7"/>
      <c r="D110" s="104"/>
      <c r="E110" s="6"/>
      <c r="F110" s="6"/>
    </row>
    <row r="111" spans="2:8">
      <c r="B111" s="7"/>
      <c r="D111" s="104"/>
      <c r="E111" s="6"/>
      <c r="F111" s="6"/>
    </row>
    <row r="112" spans="2:8">
      <c r="B112" s="7"/>
      <c r="D112" s="104"/>
      <c r="E112" s="6"/>
      <c r="F112" s="6"/>
    </row>
    <row r="113" spans="2:6">
      <c r="B113" s="7"/>
      <c r="D113" s="104"/>
      <c r="E113" s="6"/>
      <c r="F113" s="6"/>
    </row>
    <row r="114" spans="2:6">
      <c r="B114" s="7"/>
      <c r="D114" s="104"/>
      <c r="E114" s="6"/>
      <c r="F114" s="6"/>
    </row>
    <row r="115" spans="2:6">
      <c r="B115" s="7"/>
      <c r="D115" s="104"/>
      <c r="E115" s="6"/>
      <c r="F115" s="6"/>
    </row>
    <row r="116" spans="2:6">
      <c r="B116" s="7"/>
      <c r="D116" s="104"/>
      <c r="E116" s="6"/>
      <c r="F116" s="6"/>
    </row>
    <row r="117" spans="2:6">
      <c r="B117" s="7"/>
      <c r="D117" s="104"/>
      <c r="E117" s="6"/>
      <c r="F117" s="6"/>
    </row>
    <row r="118" spans="2:6">
      <c r="B118" s="7"/>
      <c r="D118" s="104"/>
      <c r="E118" s="6"/>
      <c r="F118" s="6"/>
    </row>
    <row r="119" spans="2:6">
      <c r="B119" s="7"/>
      <c r="D119" s="104"/>
      <c r="E119" s="6"/>
      <c r="F119" s="6"/>
    </row>
    <row r="120" spans="2:6">
      <c r="B120" s="7"/>
      <c r="D120" s="104"/>
      <c r="E120" s="6"/>
      <c r="F120" s="6"/>
    </row>
    <row r="121" spans="2:6">
      <c r="B121" s="7"/>
      <c r="D121" s="104"/>
      <c r="E121" s="6"/>
      <c r="F121" s="6"/>
    </row>
    <row r="122" spans="2:6">
      <c r="B122" s="7"/>
      <c r="D122" s="104"/>
      <c r="E122" s="6"/>
      <c r="F122" s="6"/>
    </row>
    <row r="123" spans="2:6">
      <c r="B123" s="7"/>
      <c r="D123" s="104"/>
      <c r="E123" s="6"/>
      <c r="F123" s="6"/>
    </row>
    <row r="124" spans="2:6">
      <c r="B124" s="7"/>
      <c r="D124" s="104"/>
      <c r="E124" s="6"/>
      <c r="F124" s="6"/>
    </row>
    <row r="125" spans="2:6">
      <c r="B125" s="7"/>
      <c r="D125" s="104"/>
      <c r="E125" s="6"/>
      <c r="F125" s="6"/>
    </row>
    <row r="126" spans="2:6">
      <c r="B126" s="7"/>
      <c r="D126" s="104"/>
      <c r="E126" s="6"/>
      <c r="F126" s="6"/>
    </row>
    <row r="127" spans="2:6">
      <c r="B127" s="7"/>
      <c r="D127" s="104"/>
      <c r="E127" s="6"/>
      <c r="F127" s="6"/>
    </row>
    <row r="128" spans="2:6">
      <c r="B128" s="7"/>
      <c r="D128" s="104"/>
      <c r="E128" s="6"/>
      <c r="F128" s="6"/>
    </row>
    <row r="129" spans="2:6">
      <c r="B129" s="7"/>
      <c r="D129" s="104"/>
      <c r="E129" s="6"/>
      <c r="F129" s="6"/>
    </row>
    <row r="130" spans="2:6">
      <c r="B130" s="7"/>
      <c r="D130" s="104"/>
      <c r="E130" s="6"/>
      <c r="F130" s="6"/>
    </row>
    <row r="131" spans="2:6">
      <c r="B131" s="7"/>
      <c r="D131" s="104"/>
      <c r="E131" s="6"/>
      <c r="F131" s="6"/>
    </row>
    <row r="132" spans="2:6">
      <c r="B132" s="7"/>
      <c r="D132" s="104"/>
      <c r="E132" s="6"/>
      <c r="F132" s="6"/>
    </row>
    <row r="133" spans="2:6">
      <c r="B133" s="7"/>
      <c r="D133" s="104"/>
      <c r="E133" s="6"/>
      <c r="F133" s="6"/>
    </row>
    <row r="134" spans="2:6">
      <c r="B134" s="7"/>
      <c r="D134" s="104"/>
      <c r="E134" s="6"/>
      <c r="F134" s="6"/>
    </row>
    <row r="135" spans="2:6">
      <c r="B135" s="7"/>
      <c r="D135" s="104"/>
      <c r="E135" s="6"/>
      <c r="F135" s="6"/>
    </row>
    <row r="136" spans="2:6">
      <c r="B136" s="7"/>
      <c r="D136" s="104"/>
      <c r="E136" s="6"/>
      <c r="F136" s="6"/>
    </row>
    <row r="137" spans="2:6">
      <c r="B137" s="7"/>
      <c r="D137" s="104"/>
      <c r="E137" s="6"/>
      <c r="F137" s="6"/>
    </row>
    <row r="138" spans="2:6">
      <c r="B138" s="7"/>
      <c r="D138" s="104"/>
      <c r="E138" s="6"/>
      <c r="F138" s="6"/>
    </row>
    <row r="139" spans="2:6">
      <c r="B139" s="7"/>
      <c r="D139" s="104"/>
      <c r="E139" s="6"/>
      <c r="F139" s="6"/>
    </row>
    <row r="140" spans="2:6">
      <c r="B140" s="7"/>
      <c r="D140" s="104"/>
      <c r="E140" s="6"/>
      <c r="F140" s="6"/>
    </row>
    <row r="141" spans="2:6">
      <c r="B141" s="7"/>
      <c r="D141" s="104"/>
      <c r="E141" s="6"/>
      <c r="F141" s="6"/>
    </row>
    <row r="142" spans="2:6">
      <c r="B142" s="7"/>
      <c r="D142" s="104"/>
      <c r="E142" s="6"/>
      <c r="F142" s="6"/>
    </row>
    <row r="143" spans="2:6">
      <c r="B143" s="7"/>
      <c r="D143" s="104"/>
      <c r="E143" s="6"/>
      <c r="F143" s="6"/>
    </row>
    <row r="144" spans="2:6">
      <c r="B144" s="7"/>
      <c r="D144" s="104"/>
      <c r="E144" s="6"/>
      <c r="F144" s="6"/>
    </row>
    <row r="145" spans="2:6">
      <c r="B145" s="7"/>
      <c r="D145" s="104"/>
      <c r="E145" s="6"/>
      <c r="F145" s="6"/>
    </row>
    <row r="146" spans="2:6">
      <c r="B146" s="7"/>
      <c r="D146" s="104"/>
      <c r="E146" s="6"/>
      <c r="F146" s="6"/>
    </row>
    <row r="147" spans="2:6">
      <c r="B147" s="7"/>
      <c r="D147" s="104"/>
      <c r="E147" s="6"/>
      <c r="F147" s="6"/>
    </row>
    <row r="148" spans="2:6">
      <c r="B148" s="7"/>
      <c r="D148" s="104"/>
      <c r="E148" s="6"/>
      <c r="F148" s="6"/>
    </row>
    <row r="149" spans="2:6">
      <c r="B149" s="7"/>
      <c r="D149" s="104"/>
      <c r="E149" s="6"/>
      <c r="F149" s="6"/>
    </row>
    <row r="150" spans="2:6">
      <c r="B150" s="7"/>
      <c r="D150" s="104"/>
      <c r="E150" s="6"/>
      <c r="F150" s="6"/>
    </row>
    <row r="151" spans="2:6">
      <c r="B151" s="7"/>
      <c r="D151" s="104"/>
      <c r="E151" s="6"/>
      <c r="F151" s="6"/>
    </row>
    <row r="152" spans="2:6">
      <c r="B152" s="7"/>
    </row>
    <row r="153" spans="2:6">
      <c r="B153" s="8"/>
    </row>
    <row r="154" spans="2:6">
      <c r="B154" s="8"/>
    </row>
    <row r="155" spans="2:6">
      <c r="B155" s="8"/>
    </row>
    <row r="156" spans="2:6">
      <c r="B156" s="8"/>
    </row>
    <row r="157" spans="2:6">
      <c r="B157" s="8"/>
    </row>
    <row r="158" spans="2:6">
      <c r="B158" s="8"/>
    </row>
    <row r="159" spans="2:6">
      <c r="B159" s="8"/>
    </row>
    <row r="160" spans="2:6">
      <c r="B160" s="8"/>
    </row>
    <row r="161" spans="2:2">
      <c r="B161" s="8"/>
    </row>
    <row r="162" spans="2:2">
      <c r="B162" s="8"/>
    </row>
    <row r="163" spans="2:2">
      <c r="B163" s="8"/>
    </row>
    <row r="164" spans="2:2">
      <c r="B164" s="8"/>
    </row>
    <row r="165" spans="2:2">
      <c r="B165" s="8"/>
    </row>
    <row r="166" spans="2:2">
      <c r="B166" s="8"/>
    </row>
    <row r="167" spans="2:2">
      <c r="B167" s="8"/>
    </row>
    <row r="168" spans="2:2">
      <c r="B168" s="8"/>
    </row>
    <row r="169" spans="2:2">
      <c r="B169" s="8"/>
    </row>
    <row r="170" spans="2:2">
      <c r="B170" s="8"/>
    </row>
    <row r="171" spans="2:2">
      <c r="B171" s="8"/>
    </row>
    <row r="172" spans="2:2">
      <c r="B172" s="8"/>
    </row>
    <row r="173" spans="2:2">
      <c r="B173" s="8"/>
    </row>
    <row r="174" spans="2:2">
      <c r="B174" s="8"/>
    </row>
    <row r="175" spans="2:2">
      <c r="B175" s="8"/>
    </row>
    <row r="176" spans="2:2">
      <c r="B176" s="8"/>
    </row>
    <row r="177" spans="2:2">
      <c r="B177" s="8"/>
    </row>
    <row r="178" spans="2:2">
      <c r="B178" s="8"/>
    </row>
    <row r="179" spans="2:2">
      <c r="B179" s="8"/>
    </row>
    <row r="180" spans="2:2">
      <c r="B180" s="8"/>
    </row>
    <row r="181" spans="2:2">
      <c r="B181" s="8"/>
    </row>
    <row r="182" spans="2:2">
      <c r="B182" s="8"/>
    </row>
    <row r="183" spans="2:2">
      <c r="B183" s="8"/>
    </row>
    <row r="184" spans="2:2">
      <c r="B184" s="8"/>
    </row>
    <row r="185" spans="2:2">
      <c r="B185" s="8"/>
    </row>
    <row r="186" spans="2:2">
      <c r="B186" s="8"/>
    </row>
    <row r="187" spans="2:2">
      <c r="B187" s="8"/>
    </row>
    <row r="188" spans="2:2">
      <c r="B188" s="8"/>
    </row>
    <row r="189" spans="2:2">
      <c r="B189" s="8"/>
    </row>
    <row r="190" spans="2:2">
      <c r="B190" s="8"/>
    </row>
    <row r="191" spans="2:2">
      <c r="B191" s="8"/>
    </row>
    <row r="192" spans="2:2">
      <c r="B192" s="8"/>
    </row>
    <row r="193" spans="2:2">
      <c r="B193" s="8"/>
    </row>
    <row r="194" spans="2:2">
      <c r="B194" s="8"/>
    </row>
    <row r="195" spans="2:2">
      <c r="B195" s="8"/>
    </row>
    <row r="196" spans="2:2">
      <c r="B196" s="8"/>
    </row>
    <row r="197" spans="2:2">
      <c r="B197" s="8"/>
    </row>
    <row r="198" spans="2:2">
      <c r="B198" s="8"/>
    </row>
    <row r="199" spans="2:2">
      <c r="B199" s="8"/>
    </row>
    <row r="200" spans="2:2">
      <c r="B200" s="8"/>
    </row>
    <row r="201" spans="2:2">
      <c r="B201" s="8"/>
    </row>
    <row r="202" spans="2:2">
      <c r="B202" s="8"/>
    </row>
    <row r="203" spans="2:2">
      <c r="B203" s="8"/>
    </row>
    <row r="204" spans="2:2">
      <c r="B204" s="8"/>
    </row>
    <row r="205" spans="2:2">
      <c r="B205" s="8"/>
    </row>
    <row r="206" spans="2:2">
      <c r="B206" s="8"/>
    </row>
    <row r="207" spans="2:2">
      <c r="B207" s="8"/>
    </row>
    <row r="208" spans="2:2">
      <c r="B208" s="8"/>
    </row>
    <row r="209" spans="2:2">
      <c r="B209" s="8"/>
    </row>
    <row r="210" spans="2:2">
      <c r="B210" s="8"/>
    </row>
    <row r="211" spans="2:2">
      <c r="B211" s="8"/>
    </row>
    <row r="212" spans="2:2">
      <c r="B212" s="8"/>
    </row>
    <row r="213" spans="2:2">
      <c r="B213" s="8"/>
    </row>
    <row r="214" spans="2:2">
      <c r="B214" s="8"/>
    </row>
    <row r="215" spans="2:2">
      <c r="B215" s="8"/>
    </row>
    <row r="216" spans="2:2">
      <c r="B216" s="8"/>
    </row>
    <row r="217" spans="2:2">
      <c r="B217" s="8"/>
    </row>
    <row r="218" spans="2:2">
      <c r="B218" s="8"/>
    </row>
    <row r="219" spans="2:2">
      <c r="B219" s="8"/>
    </row>
    <row r="220" spans="2:2">
      <c r="B220" s="8"/>
    </row>
    <row r="221" spans="2:2">
      <c r="B221" s="8"/>
    </row>
    <row r="222" spans="2:2">
      <c r="B222" s="8"/>
    </row>
    <row r="223" spans="2:2">
      <c r="B223" s="8"/>
    </row>
    <row r="224" spans="2:2">
      <c r="B224" s="8"/>
    </row>
    <row r="225" spans="2:2">
      <c r="B225" s="8"/>
    </row>
    <row r="226" spans="2:2">
      <c r="B226" s="8"/>
    </row>
    <row r="227" spans="2:2">
      <c r="B227" s="8"/>
    </row>
    <row r="228" spans="2:2">
      <c r="B228" s="8"/>
    </row>
    <row r="229" spans="2:2">
      <c r="B229" s="8"/>
    </row>
    <row r="230" spans="2:2">
      <c r="B230" s="8"/>
    </row>
    <row r="231" spans="2:2">
      <c r="B231" s="8"/>
    </row>
    <row r="232" spans="2:2">
      <c r="B232" s="8"/>
    </row>
    <row r="233" spans="2:2">
      <c r="B233" s="8"/>
    </row>
    <row r="234" spans="2:2">
      <c r="B234" s="8"/>
    </row>
    <row r="235" spans="2:2">
      <c r="B235" s="8"/>
    </row>
    <row r="236" spans="2:2">
      <c r="B236" s="8"/>
    </row>
    <row r="237" spans="2:2">
      <c r="B237" s="8"/>
    </row>
    <row r="238" spans="2:2">
      <c r="B238" s="8"/>
    </row>
    <row r="239" spans="2:2">
      <c r="B239" s="8"/>
    </row>
    <row r="240" spans="2:2">
      <c r="B240" s="8"/>
    </row>
    <row r="241" spans="2:2">
      <c r="B241" s="8"/>
    </row>
    <row r="242" spans="2:2">
      <c r="B242" s="8"/>
    </row>
    <row r="243" spans="2:2">
      <c r="B243" s="8"/>
    </row>
    <row r="244" spans="2:2">
      <c r="B244" s="8"/>
    </row>
    <row r="245" spans="2:2">
      <c r="B245" s="8"/>
    </row>
    <row r="246" spans="2:2">
      <c r="B246" s="8"/>
    </row>
    <row r="247" spans="2:2">
      <c r="B247" s="8"/>
    </row>
    <row r="248" spans="2:2">
      <c r="B248" s="8"/>
    </row>
    <row r="249" spans="2:2">
      <c r="B249" s="8"/>
    </row>
    <row r="250" spans="2:2">
      <c r="B250" s="8"/>
    </row>
    <row r="251" spans="2:2">
      <c r="B251" s="8"/>
    </row>
    <row r="252" spans="2:2">
      <c r="B252" s="8"/>
    </row>
    <row r="253" spans="2:2">
      <c r="B253" s="8"/>
    </row>
    <row r="254" spans="2:2">
      <c r="B254" s="8"/>
    </row>
    <row r="255" spans="2:2">
      <c r="B255" s="8"/>
    </row>
    <row r="256" spans="2:2">
      <c r="B256" s="8"/>
    </row>
    <row r="257" spans="2:2">
      <c r="B257" s="8"/>
    </row>
    <row r="258" spans="2:2">
      <c r="B258" s="8"/>
    </row>
    <row r="259" spans="2:2">
      <c r="B259" s="8"/>
    </row>
    <row r="260" spans="2:2">
      <c r="B260" s="8"/>
    </row>
    <row r="261" spans="2:2">
      <c r="B261" s="8"/>
    </row>
    <row r="262" spans="2:2">
      <c r="B262" s="8"/>
    </row>
    <row r="263" spans="2:2">
      <c r="B263" s="8"/>
    </row>
    <row r="264" spans="2:2">
      <c r="B264" s="8"/>
    </row>
    <row r="265" spans="2:2">
      <c r="B265" s="8"/>
    </row>
    <row r="266" spans="2:2">
      <c r="B266" s="8"/>
    </row>
    <row r="267" spans="2:2">
      <c r="B267" s="8"/>
    </row>
    <row r="268" spans="2:2">
      <c r="B268" s="8"/>
    </row>
    <row r="269" spans="2:2">
      <c r="B269" s="8"/>
    </row>
    <row r="270" spans="2:2">
      <c r="B270" s="8"/>
    </row>
    <row r="271" spans="2:2">
      <c r="B271" s="8"/>
    </row>
    <row r="272" spans="2:2">
      <c r="B272" s="8"/>
    </row>
    <row r="273" spans="2:2">
      <c r="B273" s="8"/>
    </row>
    <row r="274" spans="2:2">
      <c r="B274" s="8"/>
    </row>
    <row r="275" spans="2:2">
      <c r="B275" s="8"/>
    </row>
    <row r="276" spans="2:2">
      <c r="B276" s="8"/>
    </row>
    <row r="277" spans="2:2">
      <c r="B277" s="8"/>
    </row>
    <row r="278" spans="2:2">
      <c r="B278" s="8"/>
    </row>
    <row r="279" spans="2:2">
      <c r="B279" s="8"/>
    </row>
    <row r="280" spans="2:2">
      <c r="B280" s="8"/>
    </row>
    <row r="281" spans="2:2">
      <c r="B281" s="8"/>
    </row>
    <row r="282" spans="2:2">
      <c r="B282" s="8"/>
    </row>
    <row r="283" spans="2:2">
      <c r="B283" s="8"/>
    </row>
    <row r="284" spans="2:2">
      <c r="B284" s="8"/>
    </row>
    <row r="285" spans="2:2">
      <c r="B285" s="8"/>
    </row>
    <row r="286" spans="2:2">
      <c r="B286" s="8"/>
    </row>
    <row r="287" spans="2:2">
      <c r="B287" s="8"/>
    </row>
    <row r="288" spans="2:2">
      <c r="B288" s="8"/>
    </row>
    <row r="289" spans="2:2">
      <c r="B289" s="8"/>
    </row>
    <row r="290" spans="2:2">
      <c r="B290" s="8"/>
    </row>
    <row r="291" spans="2:2">
      <c r="B291" s="8"/>
    </row>
    <row r="292" spans="2:2">
      <c r="B292" s="8"/>
    </row>
    <row r="293" spans="2:2">
      <c r="B293" s="8"/>
    </row>
    <row r="294" spans="2:2">
      <c r="B294" s="8"/>
    </row>
    <row r="295" spans="2:2">
      <c r="B295" s="8"/>
    </row>
    <row r="296" spans="2:2">
      <c r="B296" s="8"/>
    </row>
    <row r="297" spans="2:2">
      <c r="B297" s="8"/>
    </row>
    <row r="298" spans="2:2">
      <c r="B298" s="8"/>
    </row>
    <row r="299" spans="2:2">
      <c r="B299" s="8"/>
    </row>
    <row r="300" spans="2:2">
      <c r="B300" s="8"/>
    </row>
    <row r="301" spans="2:2">
      <c r="B301" s="8"/>
    </row>
    <row r="302" spans="2:2">
      <c r="B302" s="8"/>
    </row>
    <row r="303" spans="2:2">
      <c r="B303" s="8"/>
    </row>
    <row r="304" spans="2:2">
      <c r="B304" s="8"/>
    </row>
    <row r="305" spans="2:2">
      <c r="B305" s="8"/>
    </row>
    <row r="306" spans="2:2">
      <c r="B306" s="8"/>
    </row>
    <row r="307" spans="2:2">
      <c r="B307" s="8"/>
    </row>
    <row r="308" spans="2:2">
      <c r="B308" s="8"/>
    </row>
    <row r="309" spans="2:2">
      <c r="B309" s="8"/>
    </row>
    <row r="310" spans="2:2">
      <c r="B310" s="8"/>
    </row>
    <row r="311" spans="2:2">
      <c r="B311" s="8"/>
    </row>
    <row r="312" spans="2:2">
      <c r="B312" s="8"/>
    </row>
    <row r="313" spans="2:2">
      <c r="B313" s="8"/>
    </row>
    <row r="314" spans="2:2">
      <c r="B314" s="8"/>
    </row>
    <row r="315" spans="2:2">
      <c r="B315" s="8"/>
    </row>
    <row r="316" spans="2:2">
      <c r="B316" s="8"/>
    </row>
    <row r="317" spans="2:2">
      <c r="B317" s="8"/>
    </row>
    <row r="318" spans="2:2">
      <c r="B318" s="8"/>
    </row>
    <row r="319" spans="2:2">
      <c r="B319" s="8"/>
    </row>
  </sheetData>
  <mergeCells count="20">
    <mergeCell ref="A83:B83"/>
    <mergeCell ref="A93:B93"/>
    <mergeCell ref="F96:H96"/>
    <mergeCell ref="F97:H97"/>
    <mergeCell ref="B2:F2"/>
    <mergeCell ref="D96:E96"/>
    <mergeCell ref="D97:E97"/>
    <mergeCell ref="A21:B21"/>
    <mergeCell ref="A22:B22"/>
    <mergeCell ref="A23:B23"/>
    <mergeCell ref="A30:B30"/>
    <mergeCell ref="A60:B60"/>
    <mergeCell ref="A61:B61"/>
    <mergeCell ref="A63:B63"/>
    <mergeCell ref="A6:B6"/>
    <mergeCell ref="A7:B7"/>
    <mergeCell ref="A10:B10"/>
    <mergeCell ref="A19:B19"/>
    <mergeCell ref="A17:B17"/>
    <mergeCell ref="A84:B84"/>
  </mergeCells>
  <pageMargins left="0.39370078740157483" right="0.39370078740157483" top="0.78740157480314965" bottom="0.39370078740157483" header="0.31496062992125984" footer="0.31496062992125984"/>
  <pageSetup paperSize="9" scale="82" fitToHeight="7" orientation="landscape" r:id="rId1"/>
  <rowBreaks count="1" manualBreakCount="1">
    <brk id="20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A2:R477"/>
  <sheetViews>
    <sheetView view="pageBreakPreview" topLeftCell="A3" zoomScale="80" zoomScaleNormal="70" zoomScaleSheetLayoutView="80" workbookViewId="0">
      <selection activeCell="L6" sqref="L6"/>
    </sheetView>
  </sheetViews>
  <sheetFormatPr defaultRowHeight="18.75"/>
  <cols>
    <col min="1" max="1" width="10" style="2" customWidth="1"/>
    <col min="2" max="2" width="106.140625" style="2" customWidth="1"/>
    <col min="3" max="3" width="14.140625" style="203" customWidth="1"/>
    <col min="4" max="4" width="16.5703125" style="203" customWidth="1"/>
    <col min="5" max="5" width="17.42578125" style="203" customWidth="1"/>
    <col min="6" max="6" width="18.140625" style="203" customWidth="1"/>
    <col min="7" max="7" width="18.28515625" style="2" customWidth="1"/>
    <col min="8" max="8" width="18.7109375" style="2" customWidth="1"/>
    <col min="9" max="9" width="17.42578125" style="2" customWidth="1"/>
    <col min="10" max="10" width="19" style="85" customWidth="1"/>
    <col min="11" max="11" width="22.85546875" style="5" customWidth="1"/>
    <col min="12" max="12" width="22.7109375" style="2" customWidth="1"/>
    <col min="13" max="13" width="21.85546875" style="2" customWidth="1"/>
    <col min="14" max="14" width="15.85546875" style="2" bestFit="1" customWidth="1"/>
    <col min="15" max="15" width="19.140625" style="203" customWidth="1"/>
    <col min="16" max="16" width="13.28515625" style="2" bestFit="1" customWidth="1"/>
    <col min="17" max="17" width="13.85546875" style="2" bestFit="1" customWidth="1"/>
    <col min="18" max="18" width="14.7109375" style="2" bestFit="1" customWidth="1"/>
    <col min="19" max="19" width="13.42578125" style="2" bestFit="1" customWidth="1"/>
    <col min="20" max="16384" width="9.140625" style="2"/>
  </cols>
  <sheetData>
    <row r="2" spans="1:17" ht="22.5" customHeight="1">
      <c r="A2" s="233" t="s">
        <v>118</v>
      </c>
      <c r="B2" s="233"/>
      <c r="C2" s="233"/>
      <c r="D2" s="233"/>
      <c r="E2" s="233"/>
      <c r="F2" s="233"/>
      <c r="G2" s="233"/>
      <c r="H2" s="233"/>
    </row>
    <row r="3" spans="1:17">
      <c r="B3" s="206"/>
      <c r="C3" s="3"/>
      <c r="D3" s="206"/>
      <c r="E3" s="206"/>
      <c r="F3" s="206"/>
      <c r="H3" s="171" t="s">
        <v>65</v>
      </c>
    </row>
    <row r="4" spans="1:17" ht="98.25" customHeight="1">
      <c r="A4" s="4" t="s">
        <v>8</v>
      </c>
      <c r="B4" s="4" t="s">
        <v>23</v>
      </c>
      <c r="C4" s="12" t="s">
        <v>5</v>
      </c>
      <c r="D4" s="12" t="s">
        <v>513</v>
      </c>
      <c r="E4" s="12" t="s">
        <v>514</v>
      </c>
      <c r="F4" s="12" t="s">
        <v>515</v>
      </c>
      <c r="G4" s="12" t="s">
        <v>109</v>
      </c>
      <c r="H4" s="12" t="s">
        <v>112</v>
      </c>
      <c r="N4" s="161"/>
      <c r="O4" s="29"/>
    </row>
    <row r="5" spans="1:17" ht="30.75" customHeight="1">
      <c r="A5" s="4">
        <v>1</v>
      </c>
      <c r="B5" s="4">
        <v>2</v>
      </c>
      <c r="C5" s="12">
        <v>3</v>
      </c>
      <c r="D5" s="12">
        <v>4</v>
      </c>
      <c r="E5" s="12">
        <v>5</v>
      </c>
      <c r="F5" s="12">
        <v>6</v>
      </c>
      <c r="G5" s="4">
        <v>7</v>
      </c>
      <c r="H5" s="4">
        <v>8</v>
      </c>
      <c r="I5" s="20"/>
      <c r="J5" s="25"/>
      <c r="K5" s="30"/>
      <c r="M5" s="20"/>
      <c r="N5" s="25"/>
      <c r="O5" s="31"/>
    </row>
    <row r="6" spans="1:17" ht="36" customHeight="1">
      <c r="A6" s="229" t="s">
        <v>84</v>
      </c>
      <c r="B6" s="229"/>
      <c r="C6" s="178"/>
      <c r="D6" s="13">
        <f>SUM(D7,D54,D102,D127,D146,D152,D159,D189,D194,D213,D218,D246)</f>
        <v>85704.9</v>
      </c>
      <c r="E6" s="13">
        <f>SUM(E7,E54,E102,E127,E146,E152,E159,E189,E194,E213,E218,E246)</f>
        <v>97924.3</v>
      </c>
      <c r="F6" s="13">
        <f>SUM(F7,F54,F102,F127,F146,F152,F159,F189,F194,F213,F218,F246)</f>
        <v>96114.6</v>
      </c>
      <c r="G6" s="19">
        <f>F6-E6</f>
        <v>-1809.6999999999971</v>
      </c>
      <c r="H6" s="19">
        <f>(F6/E6)*100</f>
        <v>98.151939814734448</v>
      </c>
      <c r="I6" s="20"/>
      <c r="J6" s="25"/>
      <c r="K6" s="25"/>
      <c r="N6" s="87"/>
      <c r="O6" s="32"/>
      <c r="P6" s="20"/>
    </row>
    <row r="7" spans="1:17" ht="39.75" customHeight="1">
      <c r="A7" s="178" t="s">
        <v>85</v>
      </c>
      <c r="B7" s="22" t="s">
        <v>119</v>
      </c>
      <c r="C7" s="178"/>
      <c r="D7" s="14">
        <f>D9+D37+D49</f>
        <v>67833.5</v>
      </c>
      <c r="E7" s="14">
        <f>E9+E37+E49</f>
        <v>79871.7</v>
      </c>
      <c r="F7" s="14">
        <f>F9+F37+F49</f>
        <v>73359.399999999994</v>
      </c>
      <c r="G7" s="19">
        <f>F7-E7</f>
        <v>-6512.3000000000029</v>
      </c>
      <c r="H7" s="19">
        <f>(F7/E7)*100</f>
        <v>91.846548902802866</v>
      </c>
      <c r="I7" s="20"/>
      <c r="J7" s="25"/>
      <c r="K7" s="25"/>
      <c r="L7" s="25"/>
      <c r="M7" s="25"/>
      <c r="N7" s="34"/>
      <c r="O7" s="33"/>
      <c r="P7" s="34"/>
    </row>
    <row r="8" spans="1:17" ht="28.5" customHeight="1">
      <c r="A8" s="4"/>
      <c r="B8" s="35" t="s">
        <v>86</v>
      </c>
      <c r="C8" s="12"/>
      <c r="D8" s="18"/>
      <c r="E8" s="18"/>
      <c r="F8" s="18"/>
      <c r="G8" s="19"/>
      <c r="H8" s="19"/>
      <c r="I8" s="20"/>
      <c r="K8" s="25"/>
      <c r="L8" s="25"/>
      <c r="M8" s="25"/>
      <c r="N8" s="34"/>
      <c r="O8" s="33"/>
    </row>
    <row r="9" spans="1:17" ht="30" customHeight="1">
      <c r="A9" s="36" t="s">
        <v>87</v>
      </c>
      <c r="B9" s="202" t="s">
        <v>90</v>
      </c>
      <c r="C9" s="178">
        <v>1010</v>
      </c>
      <c r="D9" s="14">
        <f>D10+D16+D17+D19+D18</f>
        <v>63368.3</v>
      </c>
      <c r="E9" s="14">
        <f>E10+E16+E17+E19</f>
        <v>74628.7</v>
      </c>
      <c r="F9" s="14">
        <f>F10+F16+F17+F19+F18</f>
        <v>67801</v>
      </c>
      <c r="G9" s="19">
        <f>F9-E9</f>
        <v>-6827.6999999999971</v>
      </c>
      <c r="H9" s="19">
        <f>(F9/E9)*100</f>
        <v>90.851106879792894</v>
      </c>
      <c r="I9" s="20"/>
      <c r="J9" s="25"/>
      <c r="K9" s="87">
        <f>K10+K17+K24</f>
        <v>85704.89999999998</v>
      </c>
      <c r="L9" s="87">
        <f t="shared" ref="L9:M9" si="0">L10+L17+L24</f>
        <v>97924.3</v>
      </c>
      <c r="M9" s="87">
        <f t="shared" si="0"/>
        <v>96114.599999999991</v>
      </c>
      <c r="N9" s="34"/>
      <c r="O9" s="33"/>
      <c r="P9" s="5"/>
    </row>
    <row r="10" spans="1:17" ht="28.5" customHeight="1">
      <c r="A10" s="37" t="s">
        <v>136</v>
      </c>
      <c r="B10" s="38" t="s">
        <v>106</v>
      </c>
      <c r="C10" s="39">
        <v>1011</v>
      </c>
      <c r="D10" s="40">
        <f>SUM(D11:D15)</f>
        <v>9416.5000000000018</v>
      </c>
      <c r="E10" s="40">
        <f>SUM(E11:E15)</f>
        <v>12360</v>
      </c>
      <c r="F10" s="40">
        <f>SUM(F11:F15)</f>
        <v>8696.1999999999989</v>
      </c>
      <c r="G10" s="41">
        <f>F10-E10</f>
        <v>-3663.8000000000011</v>
      </c>
      <c r="H10" s="41">
        <f>(F10/E10)*100</f>
        <v>70.35760517799352</v>
      </c>
      <c r="I10" s="20"/>
      <c r="J10" s="85">
        <v>1010</v>
      </c>
      <c r="K10" s="87">
        <f>SUM(D9,D56,D104,D129,D148,D161,D196,D215,D220,D248)</f>
        <v>79847.299999999988</v>
      </c>
      <c r="L10" s="87">
        <f>SUM(E9,E56,E104,E129,E148,E161,E196,E215,E220,E248)</f>
        <v>90872.4</v>
      </c>
      <c r="M10" s="87">
        <f>SUM(F9,F56,F104,F129,F148,F161,F196,F215,F220,F248)</f>
        <v>87534.2</v>
      </c>
      <c r="N10" s="34"/>
      <c r="O10" s="33"/>
      <c r="P10" s="5"/>
      <c r="Q10" s="20"/>
    </row>
    <row r="11" spans="1:17" ht="25.5" customHeight="1">
      <c r="A11" s="42"/>
      <c r="B11" s="17" t="s">
        <v>137</v>
      </c>
      <c r="C11" s="43"/>
      <c r="D11" s="18">
        <v>8648.1</v>
      </c>
      <c r="E11" s="18">
        <v>11000</v>
      </c>
      <c r="F11" s="18">
        <f>7718.8-269.4</f>
        <v>7449.4000000000005</v>
      </c>
      <c r="G11" s="15">
        <f t="shared" ref="G11" si="1">F11-E11</f>
        <v>-3550.5999999999995</v>
      </c>
      <c r="H11" s="15">
        <f t="shared" ref="H11" si="2">(F11/E11)*100</f>
        <v>67.721818181818179</v>
      </c>
      <c r="J11" s="85">
        <v>1011</v>
      </c>
      <c r="K11" s="34">
        <f>SUM(D10,D57,D105,D130,D149,D162,D197,D216,D221,)</f>
        <v>15595.9</v>
      </c>
      <c r="L11" s="34">
        <f>SUM(E10,E57,E105,E130,E149,E162,E197,E216,E221,)</f>
        <v>15256.8</v>
      </c>
      <c r="M11" s="34">
        <f>SUM(F10,F57,F105,F130,F149,F162,F197,F216,F221,)</f>
        <v>17058.5</v>
      </c>
      <c r="N11" s="34"/>
      <c r="O11" s="33"/>
      <c r="P11" s="34"/>
    </row>
    <row r="12" spans="1:17" ht="27" customHeight="1">
      <c r="A12" s="42"/>
      <c r="B12" s="17" t="s">
        <v>138</v>
      </c>
      <c r="C12" s="43"/>
      <c r="D12" s="18">
        <v>399</v>
      </c>
      <c r="E12" s="18">
        <v>600</v>
      </c>
      <c r="F12" s="18">
        <v>741.7</v>
      </c>
      <c r="G12" s="15">
        <f t="shared" ref="G12:G75" si="3">F12-E12</f>
        <v>141.70000000000005</v>
      </c>
      <c r="H12" s="15">
        <f t="shared" ref="H12:H75" si="4">(F12/E12)*100</f>
        <v>123.61666666666666</v>
      </c>
      <c r="I12" s="20"/>
      <c r="J12" s="85">
        <v>1012</v>
      </c>
      <c r="K12" s="34">
        <f>SUM(D16,D63,)</f>
        <v>44258.6</v>
      </c>
      <c r="L12" s="34">
        <f t="shared" ref="L12:M12" si="5">SUM(E16,E63,)</f>
        <v>47646.1</v>
      </c>
      <c r="M12" s="34">
        <f t="shared" si="5"/>
        <v>46266.9</v>
      </c>
      <c r="N12" s="34"/>
      <c r="P12" s="5"/>
    </row>
    <row r="13" spans="1:17" ht="37.5" customHeight="1">
      <c r="A13" s="42"/>
      <c r="B13" s="17" t="s">
        <v>159</v>
      </c>
      <c r="C13" s="43"/>
      <c r="D13" s="18">
        <v>229.2</v>
      </c>
      <c r="E13" s="18">
        <v>500</v>
      </c>
      <c r="F13" s="18">
        <v>295.89999999999998</v>
      </c>
      <c r="G13" s="15">
        <f t="shared" si="3"/>
        <v>-204.10000000000002</v>
      </c>
      <c r="H13" s="15">
        <f t="shared" si="4"/>
        <v>59.18</v>
      </c>
      <c r="J13" s="85">
        <v>1013</v>
      </c>
      <c r="K13" s="34">
        <f>SUM(D17,D64,)</f>
        <v>9299</v>
      </c>
      <c r="L13" s="34">
        <f t="shared" ref="L13:M13" si="6">SUM(E17,E64,)</f>
        <v>10957.400000000001</v>
      </c>
      <c r="M13" s="34">
        <f t="shared" si="6"/>
        <v>9628</v>
      </c>
      <c r="N13" s="34"/>
      <c r="O13" s="33"/>
    </row>
    <row r="14" spans="1:17" ht="27.75" customHeight="1">
      <c r="A14" s="42"/>
      <c r="B14" s="212" t="s">
        <v>160</v>
      </c>
      <c r="C14" s="43"/>
      <c r="D14" s="18">
        <v>0.2</v>
      </c>
      <c r="E14" s="18">
        <v>20</v>
      </c>
      <c r="F14" s="18">
        <v>0.4</v>
      </c>
      <c r="G14" s="15">
        <f t="shared" si="3"/>
        <v>-19.600000000000001</v>
      </c>
      <c r="H14" s="15">
        <f t="shared" si="4"/>
        <v>2</v>
      </c>
      <c r="J14" s="85">
        <v>1014</v>
      </c>
      <c r="K14" s="34">
        <f>SUM(D18,D65,D225,D249)</f>
        <v>3416.5</v>
      </c>
      <c r="L14" s="34">
        <f>SUM(E18,E65,E225,E249)</f>
        <v>4548</v>
      </c>
      <c r="M14" s="34">
        <f>SUM(F18,F65,F225,F249)</f>
        <v>3574.0000000000005</v>
      </c>
      <c r="N14" s="34"/>
      <c r="O14" s="33"/>
    </row>
    <row r="15" spans="1:17" ht="27" customHeight="1">
      <c r="A15" s="42"/>
      <c r="B15" s="17" t="s">
        <v>173</v>
      </c>
      <c r="C15" s="43"/>
      <c r="D15" s="18">
        <v>140</v>
      </c>
      <c r="E15" s="18">
        <v>240</v>
      </c>
      <c r="F15" s="18">
        <v>208.8</v>
      </c>
      <c r="G15" s="15">
        <f t="shared" si="3"/>
        <v>-31.199999999999989</v>
      </c>
      <c r="H15" s="15">
        <f t="shared" si="4"/>
        <v>87</v>
      </c>
      <c r="J15" s="85">
        <v>1015</v>
      </c>
      <c r="K15" s="34">
        <f>SUM(D19,D66,D108,D134,D165,D203,D226,)</f>
        <v>7277.3</v>
      </c>
      <c r="L15" s="34">
        <f>SUM(E19,E66,E108,E134,E165,E203,E226,)</f>
        <v>12464.1</v>
      </c>
      <c r="M15" s="34">
        <f>SUM(F19,F66,F108,F134,F165,F203,F226,)</f>
        <v>11006.8</v>
      </c>
      <c r="N15" s="87"/>
      <c r="O15" s="87"/>
    </row>
    <row r="16" spans="1:17" ht="26.25" customHeight="1">
      <c r="A16" s="37" t="s">
        <v>139</v>
      </c>
      <c r="B16" s="38" t="s">
        <v>2</v>
      </c>
      <c r="C16" s="45">
        <v>1012</v>
      </c>
      <c r="D16" s="40">
        <v>44099.4</v>
      </c>
      <c r="E16" s="40">
        <v>47541.1</v>
      </c>
      <c r="F16" s="40">
        <f>46099.4+125.4-0.9</f>
        <v>46223.9</v>
      </c>
      <c r="G16" s="41">
        <f t="shared" si="3"/>
        <v>-1317.1999999999971</v>
      </c>
      <c r="H16" s="41">
        <f t="shared" si="4"/>
        <v>97.229344714362938</v>
      </c>
      <c r="K16" s="34"/>
      <c r="L16" s="34"/>
      <c r="M16" s="34"/>
      <c r="N16" s="34"/>
      <c r="O16" s="34"/>
    </row>
    <row r="17" spans="1:18" ht="27" customHeight="1">
      <c r="A17" s="37" t="s">
        <v>140</v>
      </c>
      <c r="B17" s="38" t="s">
        <v>3</v>
      </c>
      <c r="C17" s="45">
        <v>1013</v>
      </c>
      <c r="D17" s="40">
        <v>9265.7999999999993</v>
      </c>
      <c r="E17" s="40">
        <v>10934.2</v>
      </c>
      <c r="F17" s="40">
        <v>9618.9</v>
      </c>
      <c r="G17" s="41">
        <f t="shared" si="3"/>
        <v>-1315.3000000000011</v>
      </c>
      <c r="H17" s="41">
        <f t="shared" si="4"/>
        <v>87.970770609646792</v>
      </c>
      <c r="J17" s="85">
        <v>1020</v>
      </c>
      <c r="K17" s="87">
        <f>SUM(D37,D86,D119,D140,D176,D234,D251)</f>
        <v>4925.8999999999996</v>
      </c>
      <c r="L17" s="87">
        <f>SUM(E37,E86,E119,E140,E176,E234,E251)</f>
        <v>6775.2999999999993</v>
      </c>
      <c r="M17" s="87">
        <f>SUM(F37,F86,F119,F140,F176,F234,F251)</f>
        <v>7297.2</v>
      </c>
      <c r="N17" s="34"/>
      <c r="O17" s="34"/>
      <c r="P17" s="20"/>
      <c r="Q17" s="20"/>
      <c r="R17" s="20"/>
    </row>
    <row r="18" spans="1:18" ht="26.25" customHeight="1">
      <c r="A18" s="37" t="s">
        <v>141</v>
      </c>
      <c r="B18" s="38" t="s">
        <v>4</v>
      </c>
      <c r="C18" s="45">
        <v>1014</v>
      </c>
      <c r="D18" s="40">
        <v>174.8</v>
      </c>
      <c r="E18" s="40"/>
      <c r="F18" s="40">
        <f>459.3-124.5</f>
        <v>334.8</v>
      </c>
      <c r="G18" s="41">
        <f t="shared" si="3"/>
        <v>334.8</v>
      </c>
      <c r="H18" s="157" t="e">
        <f t="shared" si="4"/>
        <v>#DIV/0!</v>
      </c>
      <c r="I18" s="46"/>
      <c r="J18" s="85">
        <v>1021</v>
      </c>
      <c r="K18" s="34">
        <f>SUM(D38,)</f>
        <v>27.6</v>
      </c>
      <c r="L18" s="87">
        <f t="shared" ref="L18:M18" si="7">SUM(E38,)</f>
        <v>0</v>
      </c>
      <c r="M18" s="34">
        <f t="shared" si="7"/>
        <v>29.2</v>
      </c>
      <c r="N18" s="34"/>
      <c r="O18" s="34"/>
    </row>
    <row r="19" spans="1:18" ht="26.25" customHeight="1">
      <c r="A19" s="37" t="s">
        <v>142</v>
      </c>
      <c r="B19" s="38" t="s">
        <v>143</v>
      </c>
      <c r="C19" s="45">
        <v>1015</v>
      </c>
      <c r="D19" s="40">
        <f>SUM(D20:D36)</f>
        <v>411.80000000000007</v>
      </c>
      <c r="E19" s="40">
        <f>SUM(E20:E36)</f>
        <v>3793.4</v>
      </c>
      <c r="F19" s="40">
        <f>SUM(F20:F36)</f>
        <v>2927.1999999999994</v>
      </c>
      <c r="G19" s="41">
        <f t="shared" si="3"/>
        <v>-866.20000000000073</v>
      </c>
      <c r="H19" s="41">
        <f t="shared" si="4"/>
        <v>77.165603416460144</v>
      </c>
      <c r="I19" s="80"/>
      <c r="J19" s="85">
        <v>1022</v>
      </c>
      <c r="K19" s="34">
        <f>SUM(D40,)</f>
        <v>2816.8</v>
      </c>
      <c r="L19" s="34">
        <f t="shared" ref="L19:M19" si="8">SUM(E40,)</f>
        <v>4218.2</v>
      </c>
      <c r="M19" s="34">
        <f t="shared" si="8"/>
        <v>3672.6</v>
      </c>
      <c r="N19" s="34"/>
      <c r="O19" s="34"/>
      <c r="P19" s="34"/>
    </row>
    <row r="20" spans="1:18" ht="27" customHeight="1">
      <c r="A20" s="47"/>
      <c r="B20" s="264" t="s">
        <v>144</v>
      </c>
      <c r="C20" s="16"/>
      <c r="D20" s="18"/>
      <c r="E20" s="18">
        <v>115</v>
      </c>
      <c r="F20" s="18">
        <f>152.6</f>
        <v>152.6</v>
      </c>
      <c r="G20" s="15">
        <f t="shared" si="3"/>
        <v>37.599999999999994</v>
      </c>
      <c r="H20" s="15">
        <f t="shared" si="4"/>
        <v>132.69565217391303</v>
      </c>
      <c r="J20" s="85">
        <v>1023</v>
      </c>
      <c r="K20" s="34">
        <f>SUM(D41,)</f>
        <v>564.1</v>
      </c>
      <c r="L20" s="34">
        <f t="shared" ref="L20:M20" si="9">SUM(E41,)</f>
        <v>969.8</v>
      </c>
      <c r="M20" s="34">
        <f t="shared" si="9"/>
        <v>811.1</v>
      </c>
      <c r="N20" s="34"/>
      <c r="O20" s="34"/>
      <c r="P20" s="5"/>
    </row>
    <row r="21" spans="1:18" ht="26.25" customHeight="1">
      <c r="A21" s="47"/>
      <c r="B21" s="17" t="s">
        <v>145</v>
      </c>
      <c r="C21" s="16"/>
      <c r="D21" s="18">
        <v>26.4</v>
      </c>
      <c r="E21" s="18">
        <v>500</v>
      </c>
      <c r="F21" s="18">
        <f>110.4+163.2-160+275</f>
        <v>388.6</v>
      </c>
      <c r="G21" s="15">
        <f t="shared" si="3"/>
        <v>-111.39999999999998</v>
      </c>
      <c r="H21" s="15">
        <f t="shared" si="4"/>
        <v>77.72</v>
      </c>
      <c r="J21" s="85">
        <v>1024</v>
      </c>
      <c r="K21" s="34">
        <f>SUM(D252)</f>
        <v>795.2</v>
      </c>
      <c r="L21" s="34">
        <f t="shared" ref="L21:M21" si="10">SUM(E252)</f>
        <v>952</v>
      </c>
      <c r="M21" s="34">
        <f t="shared" si="10"/>
        <v>1946.7</v>
      </c>
      <c r="N21" s="34"/>
      <c r="O21" s="33"/>
    </row>
    <row r="22" spans="1:18" ht="26.25" customHeight="1">
      <c r="A22" s="47"/>
      <c r="B22" s="17" t="s">
        <v>146</v>
      </c>
      <c r="C22" s="16"/>
      <c r="D22" s="18">
        <v>41.2</v>
      </c>
      <c r="E22" s="18">
        <v>45</v>
      </c>
      <c r="F22" s="18">
        <f>15.5+18.5</f>
        <v>34</v>
      </c>
      <c r="G22" s="15">
        <f t="shared" si="3"/>
        <v>-11</v>
      </c>
      <c r="H22" s="15">
        <f t="shared" si="4"/>
        <v>75.555555555555557</v>
      </c>
      <c r="J22" s="85">
        <v>1025</v>
      </c>
      <c r="K22" s="44">
        <f>SUM(D42,D87,D120,D141,D177,D235)</f>
        <v>722.2</v>
      </c>
      <c r="L22" s="44">
        <f>SUM(E42,E87,E120,E141,E177,E235)</f>
        <v>635.29999999999995</v>
      </c>
      <c r="M22" s="44">
        <f>SUM(F42,F87,F120,F141,F177,F235)</f>
        <v>837.59999999999991</v>
      </c>
      <c r="N22" s="34"/>
      <c r="O22" s="33"/>
      <c r="P22" s="20"/>
    </row>
    <row r="23" spans="1:18" ht="26.25" customHeight="1">
      <c r="A23" s="47"/>
      <c r="B23" s="17" t="s">
        <v>147</v>
      </c>
      <c r="C23" s="16"/>
      <c r="D23" s="18">
        <v>32.4</v>
      </c>
      <c r="E23" s="18">
        <v>550</v>
      </c>
      <c r="F23" s="18">
        <f>40.8+46.5-44+44</f>
        <v>87.3</v>
      </c>
      <c r="G23" s="15">
        <f t="shared" si="3"/>
        <v>-462.7</v>
      </c>
      <c r="H23" s="15">
        <f t="shared" si="4"/>
        <v>15.872727272727271</v>
      </c>
      <c r="K23" s="34"/>
      <c r="L23" s="34"/>
      <c r="M23" s="34"/>
    </row>
    <row r="24" spans="1:18" ht="26.25" customHeight="1">
      <c r="A24" s="47"/>
      <c r="B24" s="17" t="s">
        <v>257</v>
      </c>
      <c r="C24" s="16"/>
      <c r="D24" s="18"/>
      <c r="E24" s="18">
        <v>212.4</v>
      </c>
      <c r="F24" s="18"/>
      <c r="G24" s="15">
        <f t="shared" si="3"/>
        <v>-212.4</v>
      </c>
      <c r="H24" s="15">
        <f t="shared" si="4"/>
        <v>0</v>
      </c>
      <c r="J24" s="5">
        <v>1030</v>
      </c>
      <c r="K24" s="87">
        <f>SUM(D49,D97,D154,D191,D210,D243)</f>
        <v>931.69999999999993</v>
      </c>
      <c r="L24" s="5">
        <f>SUM(E49,E97,E154,E191,E210,E243)</f>
        <v>276.60000000000002</v>
      </c>
      <c r="M24" s="5">
        <f>SUM(F49,F97,F154,F191,F210,F243)</f>
        <v>1283.2</v>
      </c>
    </row>
    <row r="25" spans="1:18" ht="26.25" customHeight="1">
      <c r="A25" s="47"/>
      <c r="B25" s="17" t="s">
        <v>285</v>
      </c>
      <c r="C25" s="16"/>
      <c r="D25" s="18">
        <v>115.9</v>
      </c>
      <c r="E25" s="18">
        <v>1205</v>
      </c>
      <c r="F25" s="18">
        <f>230.1+145.3+2.5</f>
        <v>377.9</v>
      </c>
      <c r="G25" s="15">
        <f t="shared" si="3"/>
        <v>-827.1</v>
      </c>
      <c r="H25" s="15">
        <f t="shared" si="4"/>
        <v>31.360995850622402</v>
      </c>
      <c r="J25" s="85">
        <v>1031</v>
      </c>
      <c r="K25" s="87"/>
      <c r="L25" s="87"/>
      <c r="M25" s="87"/>
      <c r="N25" s="20"/>
      <c r="O25" s="165"/>
    </row>
    <row r="26" spans="1:18" ht="26.25" customHeight="1">
      <c r="A26" s="47"/>
      <c r="B26" s="17" t="s">
        <v>148</v>
      </c>
      <c r="C26" s="16" t="s">
        <v>204</v>
      </c>
      <c r="D26" s="18">
        <v>43.6</v>
      </c>
      <c r="E26" s="18">
        <v>240</v>
      </c>
      <c r="F26" s="18">
        <f>35+204.1-115+115</f>
        <v>239.1</v>
      </c>
      <c r="G26" s="15">
        <f t="shared" si="3"/>
        <v>-0.90000000000000568</v>
      </c>
      <c r="H26" s="15">
        <f t="shared" si="4"/>
        <v>99.625</v>
      </c>
      <c r="J26" s="85">
        <v>1032</v>
      </c>
      <c r="K26" s="34">
        <f>SUM(D50,)</f>
        <v>607</v>
      </c>
      <c r="L26" s="34">
        <f t="shared" ref="L26:M26" si="11">SUM(E50,)</f>
        <v>0</v>
      </c>
      <c r="M26" s="34">
        <f t="shared" si="11"/>
        <v>700.7</v>
      </c>
      <c r="N26" s="34"/>
      <c r="O26" s="33"/>
    </row>
    <row r="27" spans="1:18" ht="26.25" customHeight="1">
      <c r="A27" s="47"/>
      <c r="B27" s="17" t="s">
        <v>149</v>
      </c>
      <c r="C27" s="16"/>
      <c r="D27" s="18">
        <v>41.6</v>
      </c>
      <c r="E27" s="18">
        <v>100</v>
      </c>
      <c r="F27" s="18">
        <f>91.6</f>
        <v>91.6</v>
      </c>
      <c r="G27" s="15">
        <f t="shared" si="3"/>
        <v>-8.4000000000000057</v>
      </c>
      <c r="H27" s="15">
        <f t="shared" si="4"/>
        <v>91.6</v>
      </c>
      <c r="J27" s="85">
        <v>1033</v>
      </c>
      <c r="K27" s="34">
        <f>SUM(D51,)</f>
        <v>224.4</v>
      </c>
      <c r="L27" s="34">
        <f t="shared" ref="L27:M27" si="12">SUM(E51,)</f>
        <v>0</v>
      </c>
      <c r="M27" s="34">
        <f t="shared" si="12"/>
        <v>264.39999999999998</v>
      </c>
      <c r="N27" s="34"/>
      <c r="O27" s="33"/>
      <c r="P27" s="20"/>
    </row>
    <row r="28" spans="1:18" ht="26.25" customHeight="1">
      <c r="A28" s="47"/>
      <c r="B28" s="17" t="s">
        <v>162</v>
      </c>
      <c r="C28" s="16"/>
      <c r="D28" s="18"/>
      <c r="E28" s="18">
        <v>190</v>
      </c>
      <c r="F28" s="18">
        <f>80.2+38.4</f>
        <v>118.6</v>
      </c>
      <c r="G28" s="15">
        <f t="shared" si="3"/>
        <v>-71.400000000000006</v>
      </c>
      <c r="H28" s="15">
        <f t="shared" si="4"/>
        <v>62.421052631578945</v>
      </c>
      <c r="J28" s="85">
        <v>1034</v>
      </c>
      <c r="K28" s="34"/>
      <c r="L28" s="34"/>
      <c r="M28" s="34"/>
      <c r="N28" s="34"/>
      <c r="O28" s="33"/>
    </row>
    <row r="29" spans="1:18" ht="26.25" customHeight="1">
      <c r="A29" s="47"/>
      <c r="B29" s="17" t="s">
        <v>165</v>
      </c>
      <c r="C29" s="16"/>
      <c r="D29" s="18"/>
      <c r="E29" s="18">
        <v>100</v>
      </c>
      <c r="F29" s="18">
        <f>117.6+175.6</f>
        <v>293.2</v>
      </c>
      <c r="G29" s="15">
        <f t="shared" si="3"/>
        <v>193.2</v>
      </c>
      <c r="H29" s="15">
        <f t="shared" si="4"/>
        <v>293.2</v>
      </c>
      <c r="J29" s="85">
        <v>1035</v>
      </c>
      <c r="K29" s="34">
        <f>SUM(D52,D98,D155,D192,D211,D244)</f>
        <v>100.3</v>
      </c>
      <c r="L29" s="34">
        <f>SUM(E52,E98,E155,E192,E211,E244)</f>
        <v>276.60000000000002</v>
      </c>
      <c r="M29" s="34">
        <f>SUM(F52,F98,F155,F192,F211,F244)</f>
        <v>318.10000000000002</v>
      </c>
      <c r="N29" s="34"/>
      <c r="O29" s="33"/>
      <c r="R29" s="20"/>
    </row>
    <row r="30" spans="1:18" ht="26.25" customHeight="1">
      <c r="A30" s="47"/>
      <c r="B30" s="17" t="s">
        <v>163</v>
      </c>
      <c r="C30" s="16"/>
      <c r="D30" s="18"/>
      <c r="E30" s="18">
        <v>60</v>
      </c>
      <c r="F30" s="18"/>
      <c r="G30" s="15">
        <f t="shared" si="3"/>
        <v>-60</v>
      </c>
      <c r="H30" s="15">
        <f t="shared" si="4"/>
        <v>0</v>
      </c>
      <c r="K30" s="20"/>
      <c r="L30" s="44"/>
      <c r="M30" s="44"/>
      <c r="N30" s="34"/>
      <c r="O30" s="33"/>
    </row>
    <row r="31" spans="1:18" ht="26.25" customHeight="1">
      <c r="A31" s="47"/>
      <c r="B31" s="17" t="s">
        <v>164</v>
      </c>
      <c r="C31" s="16"/>
      <c r="D31" s="18">
        <v>19.3</v>
      </c>
      <c r="E31" s="18">
        <v>400</v>
      </c>
      <c r="F31" s="18">
        <f>308.5+250.8-395.3+907</f>
        <v>1071</v>
      </c>
      <c r="G31" s="15">
        <f t="shared" si="3"/>
        <v>671</v>
      </c>
      <c r="H31" s="15">
        <f t="shared" si="4"/>
        <v>267.75</v>
      </c>
      <c r="I31" s="85"/>
      <c r="J31" s="85">
        <v>9000</v>
      </c>
      <c r="K31" s="34">
        <f>K11+K18</f>
        <v>15623.5</v>
      </c>
      <c r="L31" s="34">
        <f t="shared" ref="L31:M31" si="13">L11+L18</f>
        <v>15256.8</v>
      </c>
      <c r="M31" s="34">
        <f t="shared" si="13"/>
        <v>17087.7</v>
      </c>
      <c r="N31" s="34"/>
      <c r="O31" s="33"/>
    </row>
    <row r="32" spans="1:18" s="107" customFormat="1" ht="26.25" customHeight="1">
      <c r="A32" s="47"/>
      <c r="B32" s="17" t="s">
        <v>156</v>
      </c>
      <c r="C32" s="16"/>
      <c r="D32" s="166">
        <v>47.6</v>
      </c>
      <c r="E32" s="166"/>
      <c r="F32" s="166"/>
      <c r="G32" s="15">
        <f t="shared" si="3"/>
        <v>0</v>
      </c>
      <c r="H32" s="53" t="e">
        <f t="shared" si="4"/>
        <v>#DIV/0!</v>
      </c>
      <c r="I32" s="5"/>
      <c r="J32" s="5">
        <v>9010</v>
      </c>
      <c r="K32" s="106">
        <f>K12+K19+K26</f>
        <v>47682.400000000001</v>
      </c>
      <c r="L32" s="106">
        <f t="shared" ref="L32:M32" si="14">L12+L19+L26</f>
        <v>51864.299999999996</v>
      </c>
      <c r="M32" s="106">
        <f t="shared" si="14"/>
        <v>50640.2</v>
      </c>
      <c r="N32" s="106"/>
      <c r="O32" s="112"/>
    </row>
    <row r="33" spans="1:15" s="107" customFormat="1" ht="26.25" customHeight="1">
      <c r="A33" s="47"/>
      <c r="B33" s="17" t="s">
        <v>161</v>
      </c>
      <c r="C33" s="16"/>
      <c r="D33" s="166"/>
      <c r="E33" s="166"/>
      <c r="F33" s="166">
        <v>7.7</v>
      </c>
      <c r="G33" s="15">
        <f t="shared" si="3"/>
        <v>7.7</v>
      </c>
      <c r="H33" s="53" t="e">
        <f t="shared" si="4"/>
        <v>#DIV/0!</v>
      </c>
      <c r="I33" s="5"/>
      <c r="J33" s="5">
        <v>9020</v>
      </c>
      <c r="K33" s="106">
        <f>K13+K20+K27</f>
        <v>10087.5</v>
      </c>
      <c r="L33" s="106">
        <f t="shared" ref="L33:M33" si="15">L13+L20+L27</f>
        <v>11927.2</v>
      </c>
      <c r="M33" s="106">
        <f t="shared" si="15"/>
        <v>10703.5</v>
      </c>
      <c r="N33" s="106"/>
      <c r="O33" s="112"/>
    </row>
    <row r="34" spans="1:15" ht="29.25" customHeight="1">
      <c r="A34" s="47"/>
      <c r="B34" s="264" t="s">
        <v>194</v>
      </c>
      <c r="C34" s="16"/>
      <c r="D34" s="18"/>
      <c r="E34" s="18">
        <v>50</v>
      </c>
      <c r="F34" s="18">
        <f>14+42</f>
        <v>56</v>
      </c>
      <c r="G34" s="15">
        <f t="shared" si="3"/>
        <v>6</v>
      </c>
      <c r="H34" s="15">
        <f t="shared" si="4"/>
        <v>112.00000000000001</v>
      </c>
      <c r="I34" s="5"/>
      <c r="J34" s="5">
        <v>9030</v>
      </c>
      <c r="K34" s="34">
        <f>K14+K21</f>
        <v>4211.7</v>
      </c>
      <c r="L34" s="34">
        <f t="shared" ref="L34:M34" si="16">L14+L21</f>
        <v>5500</v>
      </c>
      <c r="M34" s="34">
        <f t="shared" si="16"/>
        <v>5520.7000000000007</v>
      </c>
      <c r="N34" s="34"/>
      <c r="O34" s="33"/>
    </row>
    <row r="35" spans="1:15" ht="29.25" customHeight="1">
      <c r="A35" s="47"/>
      <c r="B35" s="264" t="s">
        <v>322</v>
      </c>
      <c r="C35" s="16"/>
      <c r="D35" s="18"/>
      <c r="E35" s="18">
        <v>1</v>
      </c>
      <c r="F35" s="18"/>
      <c r="G35" s="15">
        <f t="shared" si="3"/>
        <v>-1</v>
      </c>
      <c r="H35" s="15">
        <f t="shared" si="4"/>
        <v>0</v>
      </c>
      <c r="I35" s="5"/>
      <c r="J35" s="5">
        <v>9040</v>
      </c>
      <c r="K35" s="34">
        <f>K15+K22+K29</f>
        <v>8099.8</v>
      </c>
      <c r="L35" s="34">
        <f t="shared" ref="L35:M35" si="17">L15+L22+L29</f>
        <v>13376</v>
      </c>
      <c r="M35" s="34">
        <f t="shared" si="17"/>
        <v>12162.5</v>
      </c>
      <c r="N35" s="34"/>
      <c r="O35" s="33"/>
    </row>
    <row r="36" spans="1:15" ht="26.25" customHeight="1">
      <c r="A36" s="47"/>
      <c r="B36" s="17" t="s">
        <v>207</v>
      </c>
      <c r="C36" s="16"/>
      <c r="D36" s="18">
        <v>43.8</v>
      </c>
      <c r="E36" s="18">
        <v>25</v>
      </c>
      <c r="F36" s="18">
        <f>9.1+0.5</f>
        <v>9.6</v>
      </c>
      <c r="G36" s="15">
        <f t="shared" si="3"/>
        <v>-15.4</v>
      </c>
      <c r="H36" s="15">
        <f t="shared" si="4"/>
        <v>38.4</v>
      </c>
      <c r="I36" s="85"/>
      <c r="J36" s="85">
        <v>9050</v>
      </c>
      <c r="K36" s="87">
        <f>SUM(K31:K35)</f>
        <v>85704.9</v>
      </c>
      <c r="L36" s="87">
        <f>SUM(L31:L35)</f>
        <v>97924.299999999988</v>
      </c>
      <c r="M36" s="87">
        <f>SUM(M31:M35)</f>
        <v>96114.599999999991</v>
      </c>
      <c r="N36" s="34"/>
      <c r="O36" s="33"/>
    </row>
    <row r="37" spans="1:15" ht="26.25" customHeight="1">
      <c r="A37" s="36" t="s">
        <v>88</v>
      </c>
      <c r="B37" s="22" t="s">
        <v>92</v>
      </c>
      <c r="C37" s="178">
        <v>1020</v>
      </c>
      <c r="D37" s="14">
        <f>D40+D41+D42+D38</f>
        <v>3633.8</v>
      </c>
      <c r="E37" s="14">
        <f>E40+E41+E42</f>
        <v>5214</v>
      </c>
      <c r="F37" s="14">
        <f>F40+F41+F42+F38</f>
        <v>4531.7</v>
      </c>
      <c r="G37" s="19">
        <f t="shared" si="3"/>
        <v>-682.30000000000018</v>
      </c>
      <c r="H37" s="19">
        <f t="shared" si="4"/>
        <v>86.914077483697739</v>
      </c>
      <c r="I37" s="5"/>
      <c r="J37" s="5"/>
      <c r="K37" s="20"/>
      <c r="M37" s="20"/>
      <c r="N37" s="34"/>
    </row>
    <row r="38" spans="1:15" s="82" customFormat="1" ht="26.25" customHeight="1">
      <c r="A38" s="66" t="s">
        <v>436</v>
      </c>
      <c r="B38" s="38" t="s">
        <v>106</v>
      </c>
      <c r="C38" s="64">
        <v>1021</v>
      </c>
      <c r="D38" s="40">
        <f>D39</f>
        <v>27.6</v>
      </c>
      <c r="E38" s="40">
        <f>E39</f>
        <v>0</v>
      </c>
      <c r="F38" s="40">
        <f>F39</f>
        <v>29.2</v>
      </c>
      <c r="G38" s="41">
        <f t="shared" si="3"/>
        <v>29.2</v>
      </c>
      <c r="H38" s="157" t="e">
        <f t="shared" si="4"/>
        <v>#DIV/0!</v>
      </c>
      <c r="K38" s="168"/>
      <c r="M38" s="168"/>
      <c r="N38" s="169"/>
      <c r="O38" s="84"/>
    </row>
    <row r="39" spans="1:15" ht="26.25" customHeight="1">
      <c r="A39" s="68"/>
      <c r="B39" s="17" t="s">
        <v>173</v>
      </c>
      <c r="C39" s="12"/>
      <c r="D39" s="18">
        <v>27.6</v>
      </c>
      <c r="E39" s="18"/>
      <c r="F39" s="18">
        <v>29.2</v>
      </c>
      <c r="G39" s="15">
        <f t="shared" si="3"/>
        <v>29.2</v>
      </c>
      <c r="H39" s="53" t="e">
        <f t="shared" si="4"/>
        <v>#DIV/0!</v>
      </c>
      <c r="J39" s="2"/>
      <c r="K39" s="20"/>
      <c r="M39" s="20"/>
      <c r="N39" s="34"/>
    </row>
    <row r="40" spans="1:15" ht="31.5" customHeight="1">
      <c r="A40" s="37" t="s">
        <v>152</v>
      </c>
      <c r="B40" s="38" t="s">
        <v>2</v>
      </c>
      <c r="C40" s="45">
        <v>1022</v>
      </c>
      <c r="D40" s="40">
        <v>2816.8</v>
      </c>
      <c r="E40" s="40">
        <v>4218.2</v>
      </c>
      <c r="F40" s="40">
        <f>3797.1-125.4+0.9</f>
        <v>3672.6</v>
      </c>
      <c r="G40" s="41">
        <f t="shared" si="3"/>
        <v>-545.59999999999991</v>
      </c>
      <c r="H40" s="41">
        <f t="shared" si="4"/>
        <v>87.06557299321986</v>
      </c>
      <c r="I40" s="85"/>
      <c r="K40" s="25"/>
      <c r="L40" s="25"/>
      <c r="M40" s="25"/>
      <c r="N40" s="20"/>
      <c r="O40" s="48"/>
    </row>
    <row r="41" spans="1:15" ht="26.25" customHeight="1">
      <c r="A41" s="37" t="s">
        <v>153</v>
      </c>
      <c r="B41" s="38" t="s">
        <v>3</v>
      </c>
      <c r="C41" s="45">
        <v>1023</v>
      </c>
      <c r="D41" s="40">
        <v>564.1</v>
      </c>
      <c r="E41" s="40">
        <v>969.8</v>
      </c>
      <c r="F41" s="40">
        <v>811.1</v>
      </c>
      <c r="G41" s="41">
        <f t="shared" si="3"/>
        <v>-158.69999999999993</v>
      </c>
      <c r="H41" s="41">
        <f t="shared" si="4"/>
        <v>83.635801196122912</v>
      </c>
      <c r="J41" s="25"/>
      <c r="K41" s="25"/>
      <c r="L41" s="30"/>
      <c r="M41" s="30"/>
      <c r="O41" s="48"/>
    </row>
    <row r="42" spans="1:15" ht="26.25" customHeight="1">
      <c r="A42" s="37" t="s">
        <v>154</v>
      </c>
      <c r="B42" s="38" t="s">
        <v>155</v>
      </c>
      <c r="C42" s="39">
        <v>1025</v>
      </c>
      <c r="D42" s="40">
        <f>SUM(D43:D48)</f>
        <v>225.3</v>
      </c>
      <c r="E42" s="40">
        <f>SUM(E43:E48)</f>
        <v>26</v>
      </c>
      <c r="F42" s="40">
        <f>SUM(F43:F48)</f>
        <v>18.799999999999997</v>
      </c>
      <c r="G42" s="41">
        <f t="shared" si="3"/>
        <v>-7.2000000000000028</v>
      </c>
      <c r="H42" s="41">
        <f t="shared" si="4"/>
        <v>72.307692307692292</v>
      </c>
      <c r="I42" s="34"/>
      <c r="L42" s="30"/>
      <c r="M42" s="30"/>
      <c r="N42" s="162"/>
      <c r="O42" s="49"/>
    </row>
    <row r="43" spans="1:15" ht="26.25" customHeight="1">
      <c r="A43" s="50"/>
      <c r="B43" s="17" t="s">
        <v>156</v>
      </c>
      <c r="C43" s="43"/>
      <c r="D43" s="18"/>
      <c r="E43" s="18">
        <v>26</v>
      </c>
      <c r="F43" s="18"/>
      <c r="G43" s="15">
        <f t="shared" si="3"/>
        <v>-26</v>
      </c>
      <c r="H43" s="15">
        <f t="shared" si="4"/>
        <v>0</v>
      </c>
      <c r="N43" s="162"/>
      <c r="O43" s="49"/>
    </row>
    <row r="44" spans="1:15" ht="26.25" customHeight="1">
      <c r="A44" s="50"/>
      <c r="B44" s="17" t="s">
        <v>165</v>
      </c>
      <c r="C44" s="43"/>
      <c r="D44" s="18"/>
      <c r="E44" s="18"/>
      <c r="F44" s="18">
        <f>3.9+7.2</f>
        <v>11.1</v>
      </c>
      <c r="G44" s="15">
        <f t="shared" si="3"/>
        <v>11.1</v>
      </c>
      <c r="H44" s="53" t="e">
        <f t="shared" si="4"/>
        <v>#DIV/0!</v>
      </c>
      <c r="N44" s="162"/>
      <c r="O44" s="49"/>
    </row>
    <row r="45" spans="1:15" ht="26.25" customHeight="1">
      <c r="A45" s="50"/>
      <c r="B45" s="17" t="s">
        <v>437</v>
      </c>
      <c r="C45" s="43"/>
      <c r="D45" s="18">
        <v>23.1</v>
      </c>
      <c r="E45" s="18"/>
      <c r="F45" s="18"/>
      <c r="G45" s="15">
        <f t="shared" si="3"/>
        <v>0</v>
      </c>
      <c r="H45" s="53" t="e">
        <f t="shared" si="4"/>
        <v>#DIV/0!</v>
      </c>
      <c r="N45" s="162"/>
      <c r="O45" s="49"/>
    </row>
    <row r="46" spans="1:15" ht="26.25" customHeight="1">
      <c r="A46" s="50"/>
      <c r="B46" s="17" t="s">
        <v>166</v>
      </c>
      <c r="C46" s="43"/>
      <c r="D46" s="18">
        <v>4.2</v>
      </c>
      <c r="E46" s="18"/>
      <c r="F46" s="18">
        <f>0.8+0.8</f>
        <v>1.6</v>
      </c>
      <c r="G46" s="15">
        <f t="shared" si="3"/>
        <v>1.6</v>
      </c>
      <c r="H46" s="53" t="e">
        <f t="shared" si="4"/>
        <v>#DIV/0!</v>
      </c>
      <c r="N46" s="162"/>
      <c r="O46" s="49"/>
    </row>
    <row r="47" spans="1:15" ht="26.25" customHeight="1">
      <c r="A47" s="50"/>
      <c r="B47" s="17" t="s">
        <v>185</v>
      </c>
      <c r="C47" s="43"/>
      <c r="D47" s="18"/>
      <c r="E47" s="18"/>
      <c r="F47" s="18">
        <v>6.1</v>
      </c>
      <c r="G47" s="15">
        <f t="shared" si="3"/>
        <v>6.1</v>
      </c>
      <c r="H47" s="53" t="e">
        <f t="shared" si="4"/>
        <v>#DIV/0!</v>
      </c>
      <c r="N47" s="162"/>
      <c r="O47" s="49"/>
    </row>
    <row r="48" spans="1:15" ht="27" customHeight="1">
      <c r="A48" s="50"/>
      <c r="B48" s="17" t="s">
        <v>438</v>
      </c>
      <c r="C48" s="43"/>
      <c r="D48" s="18">
        <v>198</v>
      </c>
      <c r="E48" s="18"/>
      <c r="F48" s="18"/>
      <c r="G48" s="15">
        <f t="shared" si="3"/>
        <v>0</v>
      </c>
      <c r="H48" s="53" t="e">
        <f t="shared" si="4"/>
        <v>#DIV/0!</v>
      </c>
      <c r="N48" s="163"/>
      <c r="O48" s="48"/>
    </row>
    <row r="49" spans="1:18" ht="25.5" customHeight="1">
      <c r="A49" s="36" t="s">
        <v>91</v>
      </c>
      <c r="B49" s="158" t="s">
        <v>93</v>
      </c>
      <c r="C49" s="178">
        <v>1030</v>
      </c>
      <c r="D49" s="14">
        <f>D50+D51+D52</f>
        <v>831.4</v>
      </c>
      <c r="E49" s="14">
        <f>E50+E51+E52</f>
        <v>29</v>
      </c>
      <c r="F49" s="14">
        <f>F50+F51+F52</f>
        <v>1026.7</v>
      </c>
      <c r="G49" s="19">
        <f t="shared" si="3"/>
        <v>997.7</v>
      </c>
      <c r="H49" s="19">
        <f t="shared" si="4"/>
        <v>3540.344827586207</v>
      </c>
      <c r="M49" s="44"/>
    </row>
    <row r="50" spans="1:18" ht="26.25" customHeight="1">
      <c r="A50" s="37" t="s">
        <v>157</v>
      </c>
      <c r="B50" s="38" t="s">
        <v>2</v>
      </c>
      <c r="C50" s="45">
        <v>1032</v>
      </c>
      <c r="D50" s="40">
        <v>607</v>
      </c>
      <c r="E50" s="40"/>
      <c r="F50" s="40">
        <v>700.7</v>
      </c>
      <c r="G50" s="41">
        <f t="shared" si="3"/>
        <v>700.7</v>
      </c>
      <c r="H50" s="157" t="e">
        <f t="shared" si="4"/>
        <v>#DIV/0!</v>
      </c>
    </row>
    <row r="51" spans="1:18" ht="23.25" customHeight="1">
      <c r="A51" s="37" t="s">
        <v>158</v>
      </c>
      <c r="B51" s="38" t="s">
        <v>3</v>
      </c>
      <c r="C51" s="45">
        <v>1033</v>
      </c>
      <c r="D51" s="40">
        <v>224.4</v>
      </c>
      <c r="E51" s="40"/>
      <c r="F51" s="40">
        <v>264.39999999999998</v>
      </c>
      <c r="G51" s="41">
        <f t="shared" si="3"/>
        <v>264.39999999999998</v>
      </c>
      <c r="H51" s="157" t="e">
        <f t="shared" si="4"/>
        <v>#DIV/0!</v>
      </c>
      <c r="L51" s="51"/>
      <c r="M51" s="51"/>
      <c r="R51" s="203"/>
    </row>
    <row r="52" spans="1:18" ht="23.25" customHeight="1">
      <c r="A52" s="37" t="s">
        <v>227</v>
      </c>
      <c r="B52" s="38" t="s">
        <v>93</v>
      </c>
      <c r="C52" s="45">
        <v>1035</v>
      </c>
      <c r="D52" s="40">
        <f>D53</f>
        <v>0</v>
      </c>
      <c r="E52" s="40">
        <f>E53</f>
        <v>29</v>
      </c>
      <c r="F52" s="40">
        <f>F53</f>
        <v>61.6</v>
      </c>
      <c r="G52" s="41">
        <f t="shared" si="3"/>
        <v>32.6</v>
      </c>
      <c r="H52" s="41">
        <f t="shared" si="4"/>
        <v>212.41379310344831</v>
      </c>
      <c r="L52" s="51"/>
      <c r="M52" s="51"/>
    </row>
    <row r="53" spans="1:18" ht="23.25" customHeight="1">
      <c r="A53" s="37"/>
      <c r="B53" s="17" t="s">
        <v>226</v>
      </c>
      <c r="C53" s="45"/>
      <c r="D53" s="18"/>
      <c r="E53" s="18">
        <v>29</v>
      </c>
      <c r="F53" s="18">
        <v>61.6</v>
      </c>
      <c r="G53" s="41">
        <f t="shared" si="3"/>
        <v>32.6</v>
      </c>
      <c r="H53" s="41">
        <f t="shared" si="4"/>
        <v>212.41379310344831</v>
      </c>
      <c r="L53" s="51"/>
      <c r="M53" s="51"/>
    </row>
    <row r="54" spans="1:18" ht="27.75" customHeight="1">
      <c r="A54" s="50" t="s">
        <v>94</v>
      </c>
      <c r="B54" s="54" t="s">
        <v>219</v>
      </c>
      <c r="C54" s="52"/>
      <c r="D54" s="14">
        <f>D56+D86+D97</f>
        <v>722.5</v>
      </c>
      <c r="E54" s="14">
        <f>E56+E86+E97</f>
        <v>1531.4999999999998</v>
      </c>
      <c r="F54" s="14">
        <f>F56+F86+F97</f>
        <v>296.89999999999998</v>
      </c>
      <c r="G54" s="19">
        <f t="shared" si="3"/>
        <v>-1234.5999999999999</v>
      </c>
      <c r="H54" s="19">
        <f t="shared" si="4"/>
        <v>19.386222657525305</v>
      </c>
      <c r="I54" s="34">
        <f>'Розшифровка 1 до Формування'!F9</f>
        <v>296.89999999999998</v>
      </c>
      <c r="J54" s="25"/>
      <c r="K54" s="25"/>
      <c r="L54" s="20"/>
    </row>
    <row r="55" spans="1:18" ht="30.75" customHeight="1">
      <c r="A55" s="37"/>
      <c r="B55" s="38" t="s">
        <v>86</v>
      </c>
      <c r="C55" s="45"/>
      <c r="D55" s="40"/>
      <c r="E55" s="40"/>
      <c r="F55" s="40"/>
      <c r="G55" s="41"/>
      <c r="H55" s="41"/>
      <c r="K55" s="25"/>
    </row>
    <row r="56" spans="1:18" ht="27.75" customHeight="1">
      <c r="A56" s="50" t="s">
        <v>497</v>
      </c>
      <c r="B56" s="54" t="s">
        <v>90</v>
      </c>
      <c r="C56" s="52">
        <v>1010</v>
      </c>
      <c r="D56" s="14">
        <f>D57+D63+D64+D65+D66</f>
        <v>530.9</v>
      </c>
      <c r="E56" s="14">
        <f>E57+E63+E64+E66</f>
        <v>901.3</v>
      </c>
      <c r="F56" s="14">
        <f>F57+F63+F64+F66+F65</f>
        <v>211.2</v>
      </c>
      <c r="G56" s="19">
        <f t="shared" si="3"/>
        <v>-690.09999999999991</v>
      </c>
      <c r="H56" s="19">
        <f t="shared" si="4"/>
        <v>23.432819261067348</v>
      </c>
    </row>
    <row r="57" spans="1:18" ht="27.75" customHeight="1">
      <c r="A57" s="37" t="s">
        <v>498</v>
      </c>
      <c r="B57" s="38" t="s">
        <v>106</v>
      </c>
      <c r="C57" s="45">
        <v>1011</v>
      </c>
      <c r="D57" s="40">
        <f>SUM(D58:D62)</f>
        <v>76.399999999999991</v>
      </c>
      <c r="E57" s="40">
        <f>SUM(E58:E62)</f>
        <v>92</v>
      </c>
      <c r="F57" s="40">
        <f>SUM(F58:F62)</f>
        <v>11</v>
      </c>
      <c r="G57" s="41">
        <f t="shared" si="3"/>
        <v>-81</v>
      </c>
      <c r="H57" s="41">
        <f t="shared" si="4"/>
        <v>11.956521739130435</v>
      </c>
    </row>
    <row r="58" spans="1:18" ht="27.75" customHeight="1">
      <c r="A58" s="37"/>
      <c r="B58" s="17" t="s">
        <v>137</v>
      </c>
      <c r="C58" s="16"/>
      <c r="D58" s="18">
        <v>6.3</v>
      </c>
      <c r="E58" s="18">
        <v>12</v>
      </c>
      <c r="F58" s="18">
        <f>6.3</f>
        <v>6.3</v>
      </c>
      <c r="G58" s="15">
        <f t="shared" si="3"/>
        <v>-5.7</v>
      </c>
      <c r="H58" s="41">
        <f t="shared" si="4"/>
        <v>52.5</v>
      </c>
    </row>
    <row r="59" spans="1:18" ht="27.75" customHeight="1">
      <c r="A59" s="37"/>
      <c r="B59" s="17" t="s">
        <v>138</v>
      </c>
      <c r="C59" s="16"/>
      <c r="D59" s="18"/>
      <c r="E59" s="18">
        <v>10</v>
      </c>
      <c r="F59" s="18">
        <v>2.6</v>
      </c>
      <c r="G59" s="15">
        <f t="shared" si="3"/>
        <v>-7.4</v>
      </c>
      <c r="H59" s="41">
        <f t="shared" si="4"/>
        <v>26</v>
      </c>
    </row>
    <row r="60" spans="1:18" ht="27.75" customHeight="1">
      <c r="A60" s="37"/>
      <c r="B60" s="17" t="s">
        <v>221</v>
      </c>
      <c r="C60" s="16"/>
      <c r="D60" s="18">
        <v>1.4</v>
      </c>
      <c r="E60" s="18">
        <v>6</v>
      </c>
      <c r="F60" s="18">
        <v>2.1</v>
      </c>
      <c r="G60" s="15">
        <f t="shared" si="3"/>
        <v>-3.9</v>
      </c>
      <c r="H60" s="41">
        <f t="shared" si="4"/>
        <v>35</v>
      </c>
    </row>
    <row r="61" spans="1:18" ht="39" customHeight="1">
      <c r="A61" s="37"/>
      <c r="B61" s="17" t="s">
        <v>159</v>
      </c>
      <c r="C61" s="16"/>
      <c r="D61" s="18">
        <v>56.1</v>
      </c>
      <c r="E61" s="18">
        <v>30</v>
      </c>
      <c r="F61" s="18"/>
      <c r="G61" s="15">
        <f t="shared" si="3"/>
        <v>-30</v>
      </c>
      <c r="H61" s="41">
        <f t="shared" si="4"/>
        <v>0</v>
      </c>
    </row>
    <row r="62" spans="1:18" ht="25.5" customHeight="1">
      <c r="A62" s="37"/>
      <c r="B62" s="212" t="s">
        <v>160</v>
      </c>
      <c r="C62" s="16"/>
      <c r="D62" s="18">
        <v>12.6</v>
      </c>
      <c r="E62" s="18">
        <v>34</v>
      </c>
      <c r="F62" s="18"/>
      <c r="G62" s="15">
        <f t="shared" si="3"/>
        <v>-34</v>
      </c>
      <c r="H62" s="41">
        <f t="shared" si="4"/>
        <v>0</v>
      </c>
    </row>
    <row r="63" spans="1:18" ht="25.5" customHeight="1">
      <c r="A63" s="37" t="s">
        <v>499</v>
      </c>
      <c r="B63" s="55" t="s">
        <v>2</v>
      </c>
      <c r="C63" s="45">
        <v>1012</v>
      </c>
      <c r="D63" s="40">
        <v>159.19999999999999</v>
      </c>
      <c r="E63" s="40">
        <v>105</v>
      </c>
      <c r="F63" s="40">
        <v>43</v>
      </c>
      <c r="G63" s="41">
        <f t="shared" si="3"/>
        <v>-62</v>
      </c>
      <c r="H63" s="41">
        <f t="shared" si="4"/>
        <v>40.952380952380949</v>
      </c>
      <c r="K63" s="81"/>
    </row>
    <row r="64" spans="1:18" ht="25.5" customHeight="1">
      <c r="A64" s="37" t="s">
        <v>500</v>
      </c>
      <c r="B64" s="55" t="s">
        <v>3</v>
      </c>
      <c r="C64" s="45">
        <v>1013</v>
      </c>
      <c r="D64" s="40">
        <v>33.200000000000003</v>
      </c>
      <c r="E64" s="40">
        <v>23.2</v>
      </c>
      <c r="F64" s="40">
        <v>9.1</v>
      </c>
      <c r="G64" s="41">
        <f t="shared" si="3"/>
        <v>-14.1</v>
      </c>
      <c r="H64" s="41">
        <f t="shared" si="4"/>
        <v>39.224137931034484</v>
      </c>
    </row>
    <row r="65" spans="1:9" ht="25.5" customHeight="1">
      <c r="A65" s="37" t="s">
        <v>501</v>
      </c>
      <c r="B65" s="55" t="s">
        <v>4</v>
      </c>
      <c r="C65" s="45">
        <v>1014</v>
      </c>
      <c r="D65" s="40">
        <v>53.5</v>
      </c>
      <c r="E65" s="40"/>
      <c r="F65" s="40">
        <v>99</v>
      </c>
      <c r="G65" s="41">
        <f t="shared" si="3"/>
        <v>99</v>
      </c>
      <c r="H65" s="157" t="e">
        <f t="shared" si="4"/>
        <v>#DIV/0!</v>
      </c>
      <c r="I65" s="20"/>
    </row>
    <row r="66" spans="1:9" ht="25.5" customHeight="1">
      <c r="A66" s="37" t="s">
        <v>502</v>
      </c>
      <c r="B66" s="56" t="s">
        <v>97</v>
      </c>
      <c r="C66" s="45">
        <v>1015</v>
      </c>
      <c r="D66" s="40">
        <f>SUM(D67:D85)</f>
        <v>208.6</v>
      </c>
      <c r="E66" s="40">
        <f>SUM(E67:E85)</f>
        <v>681.1</v>
      </c>
      <c r="F66" s="40">
        <f>SUM(F67:F85)</f>
        <v>49.1</v>
      </c>
      <c r="G66" s="41">
        <f t="shared" si="3"/>
        <v>-632</v>
      </c>
      <c r="H66" s="41">
        <f t="shared" si="4"/>
        <v>7.2089267361620912</v>
      </c>
      <c r="I66" s="20"/>
    </row>
    <row r="67" spans="1:9" ht="25.5" customHeight="1">
      <c r="A67" s="50"/>
      <c r="B67" s="21" t="s">
        <v>148</v>
      </c>
      <c r="C67" s="16"/>
      <c r="D67" s="18">
        <v>36.4</v>
      </c>
      <c r="E67" s="18">
        <v>20</v>
      </c>
      <c r="F67" s="18">
        <v>6.4</v>
      </c>
      <c r="G67" s="15">
        <f t="shared" si="3"/>
        <v>-13.6</v>
      </c>
      <c r="H67" s="41">
        <f t="shared" si="4"/>
        <v>32</v>
      </c>
    </row>
    <row r="68" spans="1:9" ht="25.5" customHeight="1">
      <c r="A68" s="50"/>
      <c r="B68" s="21" t="s">
        <v>222</v>
      </c>
      <c r="C68" s="16"/>
      <c r="D68" s="18">
        <v>18.3</v>
      </c>
      <c r="E68" s="18">
        <v>22</v>
      </c>
      <c r="F68" s="18">
        <f>18.3+10.5-18</f>
        <v>10.8</v>
      </c>
      <c r="G68" s="15">
        <f t="shared" si="3"/>
        <v>-11.2</v>
      </c>
      <c r="H68" s="41">
        <f t="shared" si="4"/>
        <v>49.090909090909093</v>
      </c>
    </row>
    <row r="69" spans="1:9" ht="25.5" customHeight="1">
      <c r="A69" s="50"/>
      <c r="B69" s="21" t="s">
        <v>161</v>
      </c>
      <c r="C69" s="16"/>
      <c r="D69" s="18"/>
      <c r="E69" s="18">
        <v>1</v>
      </c>
      <c r="F69" s="18"/>
      <c r="G69" s="15">
        <f t="shared" si="3"/>
        <v>-1</v>
      </c>
      <c r="H69" s="41">
        <f t="shared" si="4"/>
        <v>0</v>
      </c>
    </row>
    <row r="70" spans="1:9" ht="25.5" customHeight="1">
      <c r="A70" s="50"/>
      <c r="B70" s="21" t="s">
        <v>162</v>
      </c>
      <c r="C70" s="16"/>
      <c r="D70" s="18">
        <v>2.2000000000000002</v>
      </c>
      <c r="E70" s="18">
        <v>30</v>
      </c>
      <c r="F70" s="18"/>
      <c r="G70" s="15">
        <f t="shared" si="3"/>
        <v>-30</v>
      </c>
      <c r="H70" s="41">
        <f t="shared" si="4"/>
        <v>0</v>
      </c>
    </row>
    <row r="71" spans="1:9" ht="25.5" customHeight="1">
      <c r="A71" s="50"/>
      <c r="B71" s="21" t="s">
        <v>150</v>
      </c>
      <c r="C71" s="16"/>
      <c r="D71" s="18">
        <v>56.2</v>
      </c>
      <c r="E71" s="18">
        <v>30</v>
      </c>
      <c r="F71" s="18"/>
      <c r="G71" s="15">
        <f t="shared" si="3"/>
        <v>-30</v>
      </c>
      <c r="H71" s="41">
        <f t="shared" si="4"/>
        <v>0</v>
      </c>
    </row>
    <row r="72" spans="1:9" ht="25.5" customHeight="1">
      <c r="A72" s="50"/>
      <c r="B72" s="21" t="s">
        <v>163</v>
      </c>
      <c r="C72" s="16"/>
      <c r="D72" s="18">
        <v>2.7</v>
      </c>
      <c r="E72" s="18">
        <v>20</v>
      </c>
      <c r="F72" s="18"/>
      <c r="G72" s="15">
        <f t="shared" si="3"/>
        <v>-20</v>
      </c>
      <c r="H72" s="41">
        <f t="shared" si="4"/>
        <v>0</v>
      </c>
    </row>
    <row r="73" spans="1:9" ht="25.5" customHeight="1">
      <c r="A73" s="50"/>
      <c r="B73" s="21" t="s">
        <v>206</v>
      </c>
      <c r="C73" s="16"/>
      <c r="D73" s="18"/>
      <c r="E73" s="18">
        <v>25</v>
      </c>
      <c r="F73" s="18"/>
      <c r="G73" s="15">
        <f t="shared" si="3"/>
        <v>-25</v>
      </c>
      <c r="H73" s="41">
        <f t="shared" si="4"/>
        <v>0</v>
      </c>
    </row>
    <row r="74" spans="1:9" ht="25.5" customHeight="1">
      <c r="A74" s="50"/>
      <c r="B74" s="265" t="s">
        <v>223</v>
      </c>
      <c r="C74" s="16"/>
      <c r="D74" s="18"/>
      <c r="E74" s="18">
        <v>40</v>
      </c>
      <c r="F74" s="18"/>
      <c r="G74" s="15">
        <f t="shared" si="3"/>
        <v>-40</v>
      </c>
      <c r="H74" s="41">
        <f t="shared" si="4"/>
        <v>0</v>
      </c>
    </row>
    <row r="75" spans="1:9" ht="44.25" customHeight="1">
      <c r="A75" s="50"/>
      <c r="B75" s="17" t="s">
        <v>321</v>
      </c>
      <c r="C75" s="16"/>
      <c r="D75" s="18"/>
      <c r="E75" s="18">
        <v>388.1</v>
      </c>
      <c r="F75" s="18"/>
      <c r="G75" s="15">
        <f t="shared" si="3"/>
        <v>-388.1</v>
      </c>
      <c r="H75" s="41">
        <f t="shared" si="4"/>
        <v>0</v>
      </c>
    </row>
    <row r="76" spans="1:9" ht="30.75" customHeight="1">
      <c r="A76" s="50"/>
      <c r="B76" s="17" t="s">
        <v>441</v>
      </c>
      <c r="C76" s="16"/>
      <c r="D76" s="18"/>
      <c r="E76" s="18">
        <v>6</v>
      </c>
      <c r="F76" s="18"/>
      <c r="G76" s="15">
        <f t="shared" ref="G76:G138" si="18">F76-E76</f>
        <v>-6</v>
      </c>
      <c r="H76" s="41">
        <f t="shared" ref="H76:H138" si="19">(F76/E76)*100</f>
        <v>0</v>
      </c>
    </row>
    <row r="77" spans="1:9" ht="30.75" customHeight="1">
      <c r="A77" s="50"/>
      <c r="B77" s="17" t="s">
        <v>446</v>
      </c>
      <c r="C77" s="16"/>
      <c r="D77" s="18"/>
      <c r="E77" s="18">
        <v>10</v>
      </c>
      <c r="F77" s="18"/>
      <c r="G77" s="15">
        <f t="shared" si="18"/>
        <v>-10</v>
      </c>
      <c r="H77" s="41">
        <f t="shared" si="19"/>
        <v>0</v>
      </c>
    </row>
    <row r="78" spans="1:9" ht="27.75" customHeight="1">
      <c r="A78" s="50"/>
      <c r="B78" s="17" t="s">
        <v>208</v>
      </c>
      <c r="C78" s="16"/>
      <c r="D78" s="18">
        <v>2.9</v>
      </c>
      <c r="E78" s="18">
        <v>3</v>
      </c>
      <c r="F78" s="18">
        <f>1.1+2.9</f>
        <v>4</v>
      </c>
      <c r="G78" s="15">
        <f t="shared" si="18"/>
        <v>1</v>
      </c>
      <c r="H78" s="41">
        <f t="shared" si="19"/>
        <v>133.33333333333331</v>
      </c>
    </row>
    <row r="79" spans="1:9" ht="27.75" customHeight="1">
      <c r="A79" s="50"/>
      <c r="B79" s="265" t="s">
        <v>167</v>
      </c>
      <c r="C79" s="16"/>
      <c r="D79" s="18">
        <v>55.3</v>
      </c>
      <c r="E79" s="18">
        <v>38</v>
      </c>
      <c r="F79" s="18">
        <v>1.2</v>
      </c>
      <c r="G79" s="15">
        <f t="shared" si="18"/>
        <v>-36.799999999999997</v>
      </c>
      <c r="H79" s="41">
        <f t="shared" si="19"/>
        <v>3.1578947368421053</v>
      </c>
    </row>
    <row r="80" spans="1:9" ht="27.75" customHeight="1">
      <c r="A80" s="50"/>
      <c r="B80" s="266" t="s">
        <v>168</v>
      </c>
      <c r="C80" s="16"/>
      <c r="D80" s="18">
        <v>5.4</v>
      </c>
      <c r="E80" s="18">
        <v>4</v>
      </c>
      <c r="F80" s="18">
        <v>1.5</v>
      </c>
      <c r="G80" s="15">
        <f t="shared" si="18"/>
        <v>-2.5</v>
      </c>
      <c r="H80" s="41">
        <f t="shared" si="19"/>
        <v>37.5</v>
      </c>
    </row>
    <row r="81" spans="1:9" ht="27.75" customHeight="1">
      <c r="A81" s="50"/>
      <c r="B81" s="267" t="s">
        <v>169</v>
      </c>
      <c r="C81" s="16"/>
      <c r="D81" s="18">
        <v>23.2</v>
      </c>
      <c r="E81" s="18">
        <v>22</v>
      </c>
      <c r="F81" s="18">
        <v>6.5</v>
      </c>
      <c r="G81" s="15">
        <f t="shared" si="18"/>
        <v>-15.5</v>
      </c>
      <c r="H81" s="41">
        <f t="shared" si="19"/>
        <v>29.545454545454547</v>
      </c>
    </row>
    <row r="82" spans="1:9" ht="27.75" customHeight="1">
      <c r="A82" s="50"/>
      <c r="B82" s="266" t="s">
        <v>439</v>
      </c>
      <c r="C82" s="16"/>
      <c r="D82" s="18">
        <v>0.4</v>
      </c>
      <c r="E82" s="18">
        <v>1</v>
      </c>
      <c r="F82" s="18">
        <v>0.4</v>
      </c>
      <c r="G82" s="15">
        <f t="shared" si="18"/>
        <v>-0.6</v>
      </c>
      <c r="H82" s="41">
        <f t="shared" si="19"/>
        <v>40</v>
      </c>
    </row>
    <row r="83" spans="1:9" ht="27.75" customHeight="1">
      <c r="A83" s="50"/>
      <c r="B83" s="266" t="s">
        <v>207</v>
      </c>
      <c r="C83" s="16"/>
      <c r="D83" s="18"/>
      <c r="E83" s="18">
        <v>5</v>
      </c>
      <c r="F83" s="18"/>
      <c r="G83" s="15">
        <f t="shared" si="18"/>
        <v>-5</v>
      </c>
      <c r="H83" s="41">
        <f t="shared" si="19"/>
        <v>0</v>
      </c>
    </row>
    <row r="84" spans="1:9" ht="27.75" customHeight="1">
      <c r="A84" s="50"/>
      <c r="B84" s="266" t="s">
        <v>288</v>
      </c>
      <c r="C84" s="45"/>
      <c r="D84" s="18">
        <v>5.6</v>
      </c>
      <c r="E84" s="18"/>
      <c r="F84" s="166"/>
      <c r="G84" s="15">
        <f t="shared" si="18"/>
        <v>0</v>
      </c>
      <c r="H84" s="157" t="e">
        <f t="shared" si="19"/>
        <v>#DIV/0!</v>
      </c>
    </row>
    <row r="85" spans="1:9" ht="27.75" customHeight="1">
      <c r="A85" s="50"/>
      <c r="B85" s="267" t="s">
        <v>322</v>
      </c>
      <c r="C85" s="45"/>
      <c r="D85" s="40"/>
      <c r="E85" s="18">
        <v>16</v>
      </c>
      <c r="F85" s="18">
        <f>18.3</f>
        <v>18.3</v>
      </c>
      <c r="G85" s="15">
        <f t="shared" si="18"/>
        <v>2.3000000000000007</v>
      </c>
      <c r="H85" s="41">
        <f t="shared" si="19"/>
        <v>114.375</v>
      </c>
    </row>
    <row r="86" spans="1:9" ht="27.75" customHeight="1">
      <c r="A86" s="50" t="s">
        <v>503</v>
      </c>
      <c r="B86" s="57" t="s">
        <v>92</v>
      </c>
      <c r="C86" s="58">
        <v>1020</v>
      </c>
      <c r="D86" s="40">
        <f>D87</f>
        <v>191.59999999999997</v>
      </c>
      <c r="E86" s="40">
        <f>E87</f>
        <v>440.4</v>
      </c>
      <c r="F86" s="40">
        <f>F87</f>
        <v>2.5</v>
      </c>
      <c r="G86" s="41">
        <f t="shared" si="18"/>
        <v>-437.9</v>
      </c>
      <c r="H86" s="41">
        <f t="shared" si="19"/>
        <v>0.56766575840145328</v>
      </c>
    </row>
    <row r="87" spans="1:9" ht="27.75" customHeight="1">
      <c r="A87" s="37" t="s">
        <v>504</v>
      </c>
      <c r="B87" s="56" t="s">
        <v>172</v>
      </c>
      <c r="C87" s="39">
        <v>1025</v>
      </c>
      <c r="D87" s="40">
        <f>SUM(D88:D96)</f>
        <v>191.59999999999997</v>
      </c>
      <c r="E87" s="40">
        <f>SUM(E88:E96)</f>
        <v>440.4</v>
      </c>
      <c r="F87" s="40">
        <f>SUM(F88:F96)</f>
        <v>2.5</v>
      </c>
      <c r="G87" s="41">
        <f t="shared" si="18"/>
        <v>-437.9</v>
      </c>
      <c r="H87" s="41">
        <f t="shared" si="19"/>
        <v>0.56766575840145328</v>
      </c>
    </row>
    <row r="88" spans="1:9" ht="27.75" customHeight="1">
      <c r="A88" s="50"/>
      <c r="B88" s="268" t="s">
        <v>151</v>
      </c>
      <c r="C88" s="43"/>
      <c r="D88" s="18">
        <v>78</v>
      </c>
      <c r="E88" s="18">
        <v>100</v>
      </c>
      <c r="F88" s="18"/>
      <c r="G88" s="15">
        <f t="shared" si="18"/>
        <v>-100</v>
      </c>
      <c r="H88" s="15">
        <f t="shared" si="19"/>
        <v>0</v>
      </c>
    </row>
    <row r="89" spans="1:9" ht="27.75" customHeight="1">
      <c r="A89" s="50"/>
      <c r="B89" s="21" t="s">
        <v>163</v>
      </c>
      <c r="C89" s="43"/>
      <c r="D89" s="18">
        <v>41.6</v>
      </c>
      <c r="E89" s="18">
        <v>40</v>
      </c>
      <c r="F89" s="18"/>
      <c r="G89" s="15">
        <f t="shared" si="18"/>
        <v>-40</v>
      </c>
      <c r="H89" s="15">
        <f t="shared" si="19"/>
        <v>0</v>
      </c>
    </row>
    <row r="90" spans="1:9" ht="27.75" customHeight="1">
      <c r="A90" s="50"/>
      <c r="B90" s="21" t="s">
        <v>156</v>
      </c>
      <c r="C90" s="43"/>
      <c r="D90" s="18"/>
      <c r="E90" s="18">
        <v>26</v>
      </c>
      <c r="F90" s="18"/>
      <c r="G90" s="15">
        <f t="shared" si="18"/>
        <v>-26</v>
      </c>
      <c r="H90" s="15">
        <f t="shared" si="19"/>
        <v>0</v>
      </c>
    </row>
    <row r="91" spans="1:9" ht="27.75" customHeight="1">
      <c r="A91" s="50"/>
      <c r="B91" s="17" t="s">
        <v>165</v>
      </c>
      <c r="C91" s="43"/>
      <c r="D91" s="18">
        <v>25.5</v>
      </c>
      <c r="E91" s="18">
        <v>200</v>
      </c>
      <c r="F91" s="18"/>
      <c r="G91" s="15">
        <f t="shared" si="18"/>
        <v>-200</v>
      </c>
      <c r="H91" s="15">
        <f t="shared" si="19"/>
        <v>0</v>
      </c>
    </row>
    <row r="92" spans="1:9" ht="27.75" customHeight="1">
      <c r="A92" s="50"/>
      <c r="B92" s="17" t="s">
        <v>243</v>
      </c>
      <c r="C92" s="43"/>
      <c r="D92" s="18"/>
      <c r="E92" s="18">
        <v>72</v>
      </c>
      <c r="F92" s="18"/>
      <c r="G92" s="15">
        <f t="shared" si="18"/>
        <v>-72</v>
      </c>
      <c r="H92" s="15">
        <f t="shared" si="19"/>
        <v>0</v>
      </c>
    </row>
    <row r="93" spans="1:9" ht="27.75" customHeight="1">
      <c r="A93" s="50"/>
      <c r="B93" s="21" t="s">
        <v>286</v>
      </c>
      <c r="C93" s="43"/>
      <c r="D93" s="18">
        <v>39.799999999999997</v>
      </c>
      <c r="E93" s="18"/>
      <c r="F93" s="18"/>
      <c r="G93" s="15">
        <f t="shared" si="18"/>
        <v>0</v>
      </c>
      <c r="H93" s="53" t="e">
        <f t="shared" si="19"/>
        <v>#DIV/0!</v>
      </c>
    </row>
    <row r="94" spans="1:9" ht="27.75" customHeight="1">
      <c r="A94" s="50"/>
      <c r="B94" s="21" t="s">
        <v>248</v>
      </c>
      <c r="C94" s="43"/>
      <c r="D94" s="18">
        <v>3.6</v>
      </c>
      <c r="E94" s="18"/>
      <c r="F94" s="18"/>
      <c r="G94" s="15">
        <f t="shared" si="18"/>
        <v>0</v>
      </c>
      <c r="H94" s="53" t="e">
        <f t="shared" si="19"/>
        <v>#DIV/0!</v>
      </c>
      <c r="I94" s="2" t="s">
        <v>447</v>
      </c>
    </row>
    <row r="95" spans="1:9" ht="27.75" customHeight="1">
      <c r="A95" s="50"/>
      <c r="B95" s="21" t="s">
        <v>207</v>
      </c>
      <c r="C95" s="43"/>
      <c r="D95" s="18">
        <v>1.1000000000000001</v>
      </c>
      <c r="E95" s="18"/>
      <c r="F95" s="18"/>
      <c r="G95" s="15">
        <f t="shared" si="18"/>
        <v>0</v>
      </c>
      <c r="H95" s="53" t="e">
        <f t="shared" si="19"/>
        <v>#DIV/0!</v>
      </c>
    </row>
    <row r="96" spans="1:9" ht="27.75" customHeight="1">
      <c r="A96" s="50"/>
      <c r="B96" s="21" t="s">
        <v>224</v>
      </c>
      <c r="C96" s="43"/>
      <c r="D96" s="18">
        <v>2</v>
      </c>
      <c r="E96" s="18">
        <v>2.4</v>
      </c>
      <c r="F96" s="18">
        <v>2.5</v>
      </c>
      <c r="G96" s="15">
        <f t="shared" si="18"/>
        <v>0.10000000000000009</v>
      </c>
      <c r="H96" s="15">
        <f t="shared" si="19"/>
        <v>104.16666666666667</v>
      </c>
    </row>
    <row r="97" spans="1:11" ht="27.75" customHeight="1">
      <c r="A97" s="50" t="s">
        <v>505</v>
      </c>
      <c r="B97" s="59" t="s">
        <v>93</v>
      </c>
      <c r="C97" s="58">
        <v>1030</v>
      </c>
      <c r="D97" s="40">
        <f>D98</f>
        <v>0</v>
      </c>
      <c r="E97" s="40">
        <f>E98</f>
        <v>189.8</v>
      </c>
      <c r="F97" s="40">
        <f>F98</f>
        <v>83.2</v>
      </c>
      <c r="G97" s="41">
        <f t="shared" si="18"/>
        <v>-106.60000000000001</v>
      </c>
      <c r="H97" s="41">
        <f t="shared" si="19"/>
        <v>43.835616438356162</v>
      </c>
    </row>
    <row r="98" spans="1:11" ht="27.75" customHeight="1">
      <c r="A98" s="37" t="s">
        <v>506</v>
      </c>
      <c r="B98" s="73" t="s">
        <v>93</v>
      </c>
      <c r="C98" s="45">
        <v>1035</v>
      </c>
      <c r="D98" s="40">
        <f>SUM(D99:D101)</f>
        <v>0</v>
      </c>
      <c r="E98" s="40">
        <f>SUM(E99:E101)</f>
        <v>189.8</v>
      </c>
      <c r="F98" s="40">
        <f>SUM(F99:F101)</f>
        <v>83.2</v>
      </c>
      <c r="G98" s="41">
        <f t="shared" si="18"/>
        <v>-106.60000000000001</v>
      </c>
      <c r="H98" s="41">
        <f t="shared" si="19"/>
        <v>43.835616438356162</v>
      </c>
    </row>
    <row r="99" spans="1:11" ht="27.75" customHeight="1">
      <c r="A99" s="47"/>
      <c r="B99" s="269" t="s">
        <v>242</v>
      </c>
      <c r="C99" s="16"/>
      <c r="D99" s="18"/>
      <c r="E99" s="18">
        <v>99.8</v>
      </c>
      <c r="F99" s="18">
        <v>83.2</v>
      </c>
      <c r="G99" s="15">
        <f t="shared" si="18"/>
        <v>-16.599999999999994</v>
      </c>
      <c r="H99" s="15">
        <f t="shared" si="19"/>
        <v>83.36673346693388</v>
      </c>
      <c r="K99" s="2"/>
    </row>
    <row r="100" spans="1:11" ht="27.75" customHeight="1">
      <c r="A100" s="50"/>
      <c r="B100" s="61" t="s">
        <v>175</v>
      </c>
      <c r="C100" s="43"/>
      <c r="D100" s="40"/>
      <c r="E100" s="18">
        <v>70</v>
      </c>
      <c r="F100" s="18"/>
      <c r="G100" s="15">
        <f t="shared" si="18"/>
        <v>-70</v>
      </c>
      <c r="H100" s="41">
        <f t="shared" si="19"/>
        <v>0</v>
      </c>
    </row>
    <row r="101" spans="1:11" ht="27.75" customHeight="1">
      <c r="A101" s="50"/>
      <c r="B101" s="61" t="s">
        <v>226</v>
      </c>
      <c r="C101" s="43"/>
      <c r="D101" s="40"/>
      <c r="E101" s="18">
        <v>20</v>
      </c>
      <c r="F101" s="18"/>
      <c r="G101" s="15">
        <f t="shared" si="18"/>
        <v>-20</v>
      </c>
      <c r="H101" s="41">
        <f t="shared" si="19"/>
        <v>0</v>
      </c>
    </row>
    <row r="102" spans="1:11" ht="27.75" customHeight="1">
      <c r="A102" s="50" t="s">
        <v>104</v>
      </c>
      <c r="B102" s="54" t="s">
        <v>387</v>
      </c>
      <c r="C102" s="43"/>
      <c r="D102" s="14">
        <f>D104+D119</f>
        <v>34.299999999999997</v>
      </c>
      <c r="E102" s="14">
        <f>E104+E119</f>
        <v>0</v>
      </c>
      <c r="F102" s="14">
        <f>F104+F119</f>
        <v>233.90000000000003</v>
      </c>
      <c r="G102" s="19">
        <f t="shared" si="18"/>
        <v>233.90000000000003</v>
      </c>
      <c r="H102" s="157" t="e">
        <f t="shared" si="19"/>
        <v>#DIV/0!</v>
      </c>
    </row>
    <row r="103" spans="1:11" ht="27.75" customHeight="1">
      <c r="A103" s="50"/>
      <c r="B103" s="61" t="s">
        <v>86</v>
      </c>
      <c r="C103" s="43"/>
      <c r="D103" s="40"/>
      <c r="E103" s="18"/>
      <c r="F103" s="18"/>
      <c r="G103" s="15"/>
      <c r="H103" s="157"/>
    </row>
    <row r="104" spans="1:11" ht="27.75" customHeight="1">
      <c r="A104" s="50" t="s">
        <v>220</v>
      </c>
      <c r="B104" s="54" t="s">
        <v>90</v>
      </c>
      <c r="C104" s="52">
        <v>1010</v>
      </c>
      <c r="D104" s="14">
        <f>D105+D108</f>
        <v>34.299999999999997</v>
      </c>
      <c r="E104" s="14">
        <f>E105+E108</f>
        <v>0</v>
      </c>
      <c r="F104" s="14">
        <f>F105+F108</f>
        <v>174.40000000000003</v>
      </c>
      <c r="G104" s="15">
        <f t="shared" si="18"/>
        <v>174.40000000000003</v>
      </c>
      <c r="H104" s="157" t="e">
        <f t="shared" si="19"/>
        <v>#DIV/0!</v>
      </c>
    </row>
    <row r="105" spans="1:11" ht="27.75" customHeight="1">
      <c r="A105" s="37" t="s">
        <v>289</v>
      </c>
      <c r="B105" s="38" t="s">
        <v>106</v>
      </c>
      <c r="C105" s="45">
        <v>1011</v>
      </c>
      <c r="D105" s="40">
        <f>SUM(D106:D107)</f>
        <v>34.299999999999997</v>
      </c>
      <c r="E105" s="40">
        <f>SUM(E106:E107)</f>
        <v>0</v>
      </c>
      <c r="F105" s="40">
        <f>SUM(F106:F107)</f>
        <v>6.3000000000000114</v>
      </c>
      <c r="G105" s="15">
        <f t="shared" si="18"/>
        <v>6.3000000000000114</v>
      </c>
      <c r="H105" s="157" t="e">
        <f t="shared" si="19"/>
        <v>#DIV/0!</v>
      </c>
    </row>
    <row r="106" spans="1:11" ht="39" customHeight="1">
      <c r="A106" s="37"/>
      <c r="B106" s="17" t="s">
        <v>159</v>
      </c>
      <c r="C106" s="45"/>
      <c r="D106" s="18">
        <v>34.299999999999997</v>
      </c>
      <c r="E106" s="18"/>
      <c r="F106" s="18">
        <f>168.9-161-5</f>
        <v>2.9000000000000057</v>
      </c>
      <c r="G106" s="15">
        <f t="shared" si="18"/>
        <v>2.9000000000000057</v>
      </c>
      <c r="H106" s="157" t="e">
        <f t="shared" si="19"/>
        <v>#DIV/0!</v>
      </c>
    </row>
    <row r="107" spans="1:11" ht="27.75" customHeight="1">
      <c r="A107" s="37"/>
      <c r="B107" s="212" t="s">
        <v>160</v>
      </c>
      <c r="C107" s="45"/>
      <c r="D107" s="40"/>
      <c r="E107" s="18"/>
      <c r="F107" s="18">
        <f>107.4-104</f>
        <v>3.4000000000000057</v>
      </c>
      <c r="G107" s="15">
        <f t="shared" si="18"/>
        <v>3.4000000000000057</v>
      </c>
      <c r="H107" s="157" t="e">
        <f t="shared" si="19"/>
        <v>#DIV/0!</v>
      </c>
    </row>
    <row r="108" spans="1:11" ht="27.75" customHeight="1">
      <c r="A108" s="37" t="s">
        <v>290</v>
      </c>
      <c r="B108" s="56" t="s">
        <v>97</v>
      </c>
      <c r="C108" s="45">
        <v>1015</v>
      </c>
      <c r="D108" s="40">
        <f>SUM(D109:D114)</f>
        <v>0</v>
      </c>
      <c r="E108" s="40">
        <f>SUM(E109:E114)</f>
        <v>0</v>
      </c>
      <c r="F108" s="40">
        <f>SUM(F109:F118)</f>
        <v>168.10000000000002</v>
      </c>
      <c r="G108" s="15">
        <f t="shared" si="18"/>
        <v>168.10000000000002</v>
      </c>
      <c r="H108" s="157" t="e">
        <f t="shared" si="19"/>
        <v>#DIV/0!</v>
      </c>
    </row>
    <row r="109" spans="1:11" ht="27.75" customHeight="1">
      <c r="A109" s="37"/>
      <c r="B109" s="21" t="s">
        <v>162</v>
      </c>
      <c r="C109" s="45"/>
      <c r="D109" s="40"/>
      <c r="E109" s="18"/>
      <c r="F109" s="18">
        <f>1+2.2+66.2+2.7-37.4-30</f>
        <v>4.7000000000000099</v>
      </c>
      <c r="G109" s="15">
        <f t="shared" si="18"/>
        <v>4.7000000000000099</v>
      </c>
      <c r="H109" s="157" t="e">
        <f t="shared" si="19"/>
        <v>#DIV/0!</v>
      </c>
    </row>
    <row r="110" spans="1:11" ht="27.75" customHeight="1">
      <c r="A110" s="37"/>
      <c r="B110" s="21" t="s">
        <v>150</v>
      </c>
      <c r="C110" s="45"/>
      <c r="D110" s="40"/>
      <c r="E110" s="18"/>
      <c r="F110" s="18">
        <f>56.2-40</f>
        <v>16.200000000000003</v>
      </c>
      <c r="G110" s="15">
        <f t="shared" si="18"/>
        <v>16.200000000000003</v>
      </c>
      <c r="H110" s="157" t="e">
        <f t="shared" si="19"/>
        <v>#DIV/0!</v>
      </c>
    </row>
    <row r="111" spans="1:11" ht="27.75" customHeight="1">
      <c r="A111" s="37"/>
      <c r="B111" s="21" t="s">
        <v>163</v>
      </c>
      <c r="C111" s="45"/>
      <c r="D111" s="40"/>
      <c r="E111" s="18"/>
      <c r="F111" s="18">
        <f>3+2.7+21-20</f>
        <v>6.6999999999999993</v>
      </c>
      <c r="G111" s="15">
        <f t="shared" si="18"/>
        <v>6.6999999999999993</v>
      </c>
      <c r="H111" s="157" t="e">
        <f t="shared" si="19"/>
        <v>#DIV/0!</v>
      </c>
    </row>
    <row r="112" spans="1:11" ht="27.75" customHeight="1">
      <c r="A112" s="37"/>
      <c r="B112" s="21" t="s">
        <v>206</v>
      </c>
      <c r="C112" s="45"/>
      <c r="D112" s="40"/>
      <c r="E112" s="18"/>
      <c r="F112" s="18">
        <f>2.4+11.3</f>
        <v>13.700000000000001</v>
      </c>
      <c r="G112" s="15">
        <f t="shared" si="18"/>
        <v>13.700000000000001</v>
      </c>
      <c r="H112" s="157" t="e">
        <f t="shared" si="19"/>
        <v>#DIV/0!</v>
      </c>
    </row>
    <row r="113" spans="1:11" ht="27.75" customHeight="1">
      <c r="A113" s="37"/>
      <c r="B113" s="265" t="s">
        <v>223</v>
      </c>
      <c r="C113" s="45"/>
      <c r="D113" s="40"/>
      <c r="E113" s="18"/>
      <c r="F113" s="18">
        <v>2.8</v>
      </c>
      <c r="G113" s="15">
        <f t="shared" si="18"/>
        <v>2.8</v>
      </c>
      <c r="H113" s="157" t="e">
        <f t="shared" si="19"/>
        <v>#DIV/0!</v>
      </c>
    </row>
    <row r="114" spans="1:11" ht="37.5" customHeight="1">
      <c r="A114" s="37"/>
      <c r="B114" s="17" t="s">
        <v>321</v>
      </c>
      <c r="C114" s="45"/>
      <c r="D114" s="40"/>
      <c r="E114" s="18"/>
      <c r="F114" s="18">
        <f>1.9+37.4-30</f>
        <v>9.2999999999999972</v>
      </c>
      <c r="G114" s="15">
        <f t="shared" si="18"/>
        <v>9.2999999999999972</v>
      </c>
      <c r="H114" s="157" t="e">
        <f t="shared" si="19"/>
        <v>#DIV/0!</v>
      </c>
    </row>
    <row r="115" spans="1:11" ht="29.25" customHeight="1">
      <c r="A115" s="37"/>
      <c r="B115" s="265" t="s">
        <v>167</v>
      </c>
      <c r="C115" s="45"/>
      <c r="D115" s="40"/>
      <c r="E115" s="18"/>
      <c r="F115" s="18">
        <f>55.3+1.2</f>
        <v>56.5</v>
      </c>
      <c r="G115" s="15">
        <f t="shared" si="18"/>
        <v>56.5</v>
      </c>
      <c r="H115" s="157" t="e">
        <f t="shared" si="19"/>
        <v>#DIV/0!</v>
      </c>
    </row>
    <row r="116" spans="1:11" ht="24" customHeight="1">
      <c r="A116" s="37"/>
      <c r="B116" s="266" t="s">
        <v>168</v>
      </c>
      <c r="C116" s="45"/>
      <c r="D116" s="40"/>
      <c r="E116" s="18"/>
      <c r="F116" s="18">
        <f>5.4+0.4-1.2-1.5</f>
        <v>3.1000000000000005</v>
      </c>
      <c r="G116" s="15">
        <f t="shared" si="18"/>
        <v>3.1000000000000005</v>
      </c>
      <c r="H116" s="157" t="e">
        <f t="shared" si="19"/>
        <v>#DIV/0!</v>
      </c>
    </row>
    <row r="117" spans="1:11" ht="24" customHeight="1">
      <c r="A117" s="37"/>
      <c r="B117" s="267" t="s">
        <v>169</v>
      </c>
      <c r="C117" s="45"/>
      <c r="D117" s="40"/>
      <c r="E117" s="18"/>
      <c r="F117" s="18">
        <f>23.2+0.7-6.5</f>
        <v>17.399999999999999</v>
      </c>
      <c r="G117" s="15">
        <f t="shared" si="18"/>
        <v>17.399999999999999</v>
      </c>
      <c r="H117" s="157" t="e">
        <f t="shared" si="19"/>
        <v>#DIV/0!</v>
      </c>
    </row>
    <row r="118" spans="1:11" ht="26.25" customHeight="1">
      <c r="A118" s="37"/>
      <c r="B118" s="17" t="s">
        <v>288</v>
      </c>
      <c r="C118" s="45"/>
      <c r="D118" s="40"/>
      <c r="E118" s="18"/>
      <c r="F118" s="166">
        <f>5.6+28.5+3.6</f>
        <v>37.700000000000003</v>
      </c>
      <c r="G118" s="15">
        <f t="shared" si="18"/>
        <v>37.700000000000003</v>
      </c>
      <c r="H118" s="157" t="e">
        <f t="shared" si="19"/>
        <v>#DIV/0!</v>
      </c>
    </row>
    <row r="119" spans="1:11" ht="27.75" customHeight="1">
      <c r="A119" s="50" t="s">
        <v>291</v>
      </c>
      <c r="B119" s="57" t="s">
        <v>92</v>
      </c>
      <c r="C119" s="58">
        <v>1020</v>
      </c>
      <c r="D119" s="14">
        <f>D120</f>
        <v>0</v>
      </c>
      <c r="E119" s="14">
        <f>E120</f>
        <v>0</v>
      </c>
      <c r="F119" s="14">
        <f>F120</f>
        <v>59.499999999999986</v>
      </c>
      <c r="G119" s="15">
        <f t="shared" si="18"/>
        <v>59.499999999999986</v>
      </c>
      <c r="H119" s="157" t="e">
        <f t="shared" si="19"/>
        <v>#DIV/0!</v>
      </c>
    </row>
    <row r="120" spans="1:11" ht="27.75" customHeight="1">
      <c r="A120" s="37" t="s">
        <v>292</v>
      </c>
      <c r="B120" s="56" t="s">
        <v>172</v>
      </c>
      <c r="C120" s="39">
        <v>1025</v>
      </c>
      <c r="D120" s="40">
        <f>SUM(D121:D126)</f>
        <v>0</v>
      </c>
      <c r="E120" s="40">
        <f>SUM(E121:E126)</f>
        <v>0</v>
      </c>
      <c r="F120" s="40">
        <f>SUM(F121:F126)</f>
        <v>59.499999999999986</v>
      </c>
      <c r="G120" s="15">
        <f t="shared" si="18"/>
        <v>59.499999999999986</v>
      </c>
      <c r="H120" s="157" t="e">
        <f t="shared" si="19"/>
        <v>#DIV/0!</v>
      </c>
    </row>
    <row r="121" spans="1:11" ht="27.75" customHeight="1">
      <c r="A121" s="50"/>
      <c r="B121" s="268" t="s">
        <v>151</v>
      </c>
      <c r="C121" s="43"/>
      <c r="D121" s="40"/>
      <c r="E121" s="18"/>
      <c r="F121" s="18">
        <f>1.1+78+48.2-121</f>
        <v>6.2999999999999972</v>
      </c>
      <c r="G121" s="15">
        <f t="shared" si="18"/>
        <v>6.2999999999999972</v>
      </c>
      <c r="H121" s="157" t="e">
        <f t="shared" si="19"/>
        <v>#DIV/0!</v>
      </c>
    </row>
    <row r="122" spans="1:11" ht="27.75" customHeight="1">
      <c r="A122" s="50"/>
      <c r="B122" s="21" t="s">
        <v>163</v>
      </c>
      <c r="C122" s="43"/>
      <c r="D122" s="40"/>
      <c r="E122" s="18"/>
      <c r="F122" s="18">
        <f>41.6-41</f>
        <v>0.60000000000000142</v>
      </c>
      <c r="G122" s="15">
        <f t="shared" si="18"/>
        <v>0.60000000000000142</v>
      </c>
      <c r="H122" s="157" t="e">
        <f t="shared" si="19"/>
        <v>#DIV/0!</v>
      </c>
    </row>
    <row r="123" spans="1:11" ht="27.75" customHeight="1">
      <c r="A123" s="50"/>
      <c r="B123" s="17" t="s">
        <v>165</v>
      </c>
      <c r="C123" s="43"/>
      <c r="D123" s="40"/>
      <c r="E123" s="18"/>
      <c r="F123" s="18">
        <f>1.4+25.5+14.7+9.8-48</f>
        <v>3.3999999999999915</v>
      </c>
      <c r="G123" s="15">
        <f t="shared" si="18"/>
        <v>3.3999999999999915</v>
      </c>
      <c r="H123" s="157" t="e">
        <f t="shared" si="19"/>
        <v>#DIV/0!</v>
      </c>
    </row>
    <row r="124" spans="1:11" ht="27.75" customHeight="1">
      <c r="A124" s="50"/>
      <c r="B124" s="17" t="s">
        <v>243</v>
      </c>
      <c r="C124" s="43"/>
      <c r="D124" s="40"/>
      <c r="E124" s="18"/>
      <c r="F124" s="18">
        <f>6.5+38.3-40+39.8</f>
        <v>44.599999999999994</v>
      </c>
      <c r="G124" s="15">
        <f t="shared" si="18"/>
        <v>44.599999999999994</v>
      </c>
      <c r="H124" s="157" t="e">
        <f t="shared" si="19"/>
        <v>#DIV/0!</v>
      </c>
    </row>
    <row r="125" spans="1:11" ht="27.75" customHeight="1">
      <c r="A125" s="50"/>
      <c r="B125" s="21" t="s">
        <v>248</v>
      </c>
      <c r="C125" s="43"/>
      <c r="D125" s="40"/>
      <c r="E125" s="18"/>
      <c r="F125" s="18">
        <f>2.2+3.6+25-30</f>
        <v>0.80000000000000071</v>
      </c>
      <c r="G125" s="15">
        <f t="shared" si="18"/>
        <v>0.80000000000000071</v>
      </c>
      <c r="H125" s="157" t="e">
        <f t="shared" si="19"/>
        <v>#DIV/0!</v>
      </c>
    </row>
    <row r="126" spans="1:11" ht="27.75" customHeight="1">
      <c r="A126" s="50"/>
      <c r="B126" s="21" t="s">
        <v>286</v>
      </c>
      <c r="C126" s="43"/>
      <c r="D126" s="40"/>
      <c r="E126" s="18"/>
      <c r="F126" s="18">
        <f>1.5+1.1+2+9.2-10</f>
        <v>3.7999999999999989</v>
      </c>
      <c r="G126" s="15">
        <f t="shared" si="18"/>
        <v>3.7999999999999989</v>
      </c>
      <c r="H126" s="157" t="e">
        <f t="shared" si="19"/>
        <v>#DIV/0!</v>
      </c>
    </row>
    <row r="127" spans="1:11" ht="32.25" customHeight="1">
      <c r="A127" s="50" t="s">
        <v>105</v>
      </c>
      <c r="B127" s="54" t="s">
        <v>205</v>
      </c>
      <c r="C127" s="58"/>
      <c r="D127" s="14">
        <f>D129+D140</f>
        <v>8626.9</v>
      </c>
      <c r="E127" s="14">
        <f>E129+E140</f>
        <v>10158.299999999999</v>
      </c>
      <c r="F127" s="14">
        <f>F129+F140</f>
        <v>10158.300000000001</v>
      </c>
      <c r="G127" s="19">
        <f t="shared" si="18"/>
        <v>0</v>
      </c>
      <c r="H127" s="19">
        <f t="shared" si="19"/>
        <v>100.00000000000003</v>
      </c>
      <c r="I127" s="20">
        <f>F127-'Розшифровка 1 до Формування'!F11</f>
        <v>0</v>
      </c>
      <c r="J127" s="25"/>
    </row>
    <row r="128" spans="1:11" ht="27" customHeight="1">
      <c r="A128" s="50"/>
      <c r="B128" s="60" t="s">
        <v>86</v>
      </c>
      <c r="C128" s="43"/>
      <c r="D128" s="18"/>
      <c r="E128" s="18"/>
      <c r="F128" s="18"/>
      <c r="G128" s="19"/>
      <c r="H128" s="19"/>
      <c r="I128" s="20"/>
      <c r="K128" s="25"/>
    </row>
    <row r="129" spans="1:15" s="5" customFormat="1" ht="24.75" customHeight="1">
      <c r="A129" s="50" t="s">
        <v>229</v>
      </c>
      <c r="B129" s="54" t="s">
        <v>90</v>
      </c>
      <c r="C129" s="58">
        <v>1010</v>
      </c>
      <c r="D129" s="14">
        <f>D130+D134</f>
        <v>8397.5</v>
      </c>
      <c r="E129" s="14">
        <f>E130+E134</f>
        <v>9999.4</v>
      </c>
      <c r="F129" s="14">
        <f>F130+F134</f>
        <v>10025.1</v>
      </c>
      <c r="G129" s="19">
        <f t="shared" si="18"/>
        <v>25.700000000000728</v>
      </c>
      <c r="H129" s="19">
        <f t="shared" si="19"/>
        <v>100.25701542092527</v>
      </c>
      <c r="I129" s="83"/>
      <c r="J129" s="85"/>
      <c r="O129" s="77"/>
    </row>
    <row r="130" spans="1:15" s="5" customFormat="1" ht="24.75" customHeight="1">
      <c r="A130" s="37" t="s">
        <v>293</v>
      </c>
      <c r="B130" s="56" t="s">
        <v>106</v>
      </c>
      <c r="C130" s="39">
        <v>1011</v>
      </c>
      <c r="D130" s="40">
        <f>SUM(D131:D133)</f>
        <v>2880.3</v>
      </c>
      <c r="E130" s="40">
        <f>SUM(E131:E133)</f>
        <v>2804.7999999999997</v>
      </c>
      <c r="F130" s="40">
        <f>SUM(F131:F133)</f>
        <v>2805.3</v>
      </c>
      <c r="G130" s="41">
        <f t="shared" si="18"/>
        <v>0.50000000000045475</v>
      </c>
      <c r="H130" s="41">
        <f t="shared" si="19"/>
        <v>100.01782658300058</v>
      </c>
      <c r="J130" s="85"/>
      <c r="O130" s="77"/>
    </row>
    <row r="131" spans="1:15" ht="24.75" customHeight="1">
      <c r="A131" s="47"/>
      <c r="B131" s="17" t="s">
        <v>176</v>
      </c>
      <c r="C131" s="43"/>
      <c r="D131" s="18">
        <v>2393.5</v>
      </c>
      <c r="E131" s="18">
        <v>2661.1</v>
      </c>
      <c r="F131" s="18">
        <f>2495.6-65.5</f>
        <v>2430.1</v>
      </c>
      <c r="G131" s="15">
        <f t="shared" si="18"/>
        <v>-231</v>
      </c>
      <c r="H131" s="15">
        <f t="shared" si="19"/>
        <v>91.319379204088534</v>
      </c>
      <c r="I131" s="51"/>
    </row>
    <row r="132" spans="1:15" ht="24.75" customHeight="1">
      <c r="A132" s="47"/>
      <c r="B132" s="17" t="s">
        <v>221</v>
      </c>
      <c r="C132" s="43"/>
      <c r="D132" s="18">
        <v>44</v>
      </c>
      <c r="E132" s="18">
        <v>143.69999999999999</v>
      </c>
      <c r="F132" s="18">
        <v>82.8</v>
      </c>
      <c r="G132" s="15">
        <f t="shared" si="18"/>
        <v>-60.899999999999991</v>
      </c>
      <c r="H132" s="15">
        <f t="shared" si="19"/>
        <v>57.620041753653453</v>
      </c>
      <c r="I132" s="51"/>
    </row>
    <row r="133" spans="1:15" ht="24.75" customHeight="1">
      <c r="A133" s="47"/>
      <c r="B133" s="17" t="s">
        <v>177</v>
      </c>
      <c r="C133" s="43"/>
      <c r="D133" s="18">
        <v>442.8</v>
      </c>
      <c r="E133" s="18"/>
      <c r="F133" s="18">
        <f>4074.4-3782</f>
        <v>292.40000000000009</v>
      </c>
      <c r="G133" s="15">
        <f t="shared" si="18"/>
        <v>292.40000000000009</v>
      </c>
      <c r="H133" s="53" t="e">
        <f t="shared" si="19"/>
        <v>#DIV/0!</v>
      </c>
    </row>
    <row r="134" spans="1:15" s="5" customFormat="1" ht="24.75" customHeight="1">
      <c r="A134" s="37" t="s">
        <v>230</v>
      </c>
      <c r="B134" s="63" t="s">
        <v>97</v>
      </c>
      <c r="C134" s="64">
        <v>1015</v>
      </c>
      <c r="D134" s="40">
        <f>SUM(D135:D139)</f>
        <v>5517.2000000000007</v>
      </c>
      <c r="E134" s="40">
        <f>SUM(E135:E139)</f>
        <v>7194.6</v>
      </c>
      <c r="F134" s="40">
        <f>SUM(F135:F139)</f>
        <v>7219.8</v>
      </c>
      <c r="G134" s="41">
        <f t="shared" si="18"/>
        <v>25.199999999999818</v>
      </c>
      <c r="H134" s="41">
        <f t="shared" si="19"/>
        <v>100.35026269702276</v>
      </c>
      <c r="I134" s="164"/>
      <c r="J134" s="85"/>
      <c r="O134" s="77"/>
    </row>
    <row r="135" spans="1:15" ht="24.75" customHeight="1">
      <c r="A135" s="47"/>
      <c r="B135" s="264" t="s">
        <v>323</v>
      </c>
      <c r="C135" s="12"/>
      <c r="D135" s="18">
        <v>209.8</v>
      </c>
      <c r="E135" s="18">
        <v>124.6</v>
      </c>
      <c r="F135" s="18">
        <v>124.6</v>
      </c>
      <c r="G135" s="15">
        <f t="shared" si="18"/>
        <v>0</v>
      </c>
      <c r="H135" s="15">
        <f t="shared" si="19"/>
        <v>100</v>
      </c>
      <c r="J135" s="159"/>
      <c r="K135" s="2"/>
    </row>
    <row r="136" spans="1:15" ht="24.75" customHeight="1">
      <c r="A136" s="50"/>
      <c r="B136" s="264" t="s">
        <v>167</v>
      </c>
      <c r="C136" s="264"/>
      <c r="D136" s="18">
        <v>3576.3</v>
      </c>
      <c r="E136" s="18">
        <v>4603.2</v>
      </c>
      <c r="F136" s="18">
        <v>4733.6000000000004</v>
      </c>
      <c r="G136" s="15">
        <f t="shared" si="18"/>
        <v>130.40000000000055</v>
      </c>
      <c r="H136" s="15">
        <f t="shared" si="19"/>
        <v>102.83281195689955</v>
      </c>
    </row>
    <row r="137" spans="1:15" ht="24.75" customHeight="1">
      <c r="A137" s="50"/>
      <c r="B137" s="264" t="s">
        <v>168</v>
      </c>
      <c r="C137" s="264"/>
      <c r="D137" s="18">
        <v>283.3</v>
      </c>
      <c r="E137" s="18">
        <v>443.1</v>
      </c>
      <c r="F137" s="18">
        <v>443.3</v>
      </c>
      <c r="G137" s="15">
        <f t="shared" si="18"/>
        <v>0.19999999999998863</v>
      </c>
      <c r="H137" s="15">
        <f t="shared" si="19"/>
        <v>100.04513653802753</v>
      </c>
    </row>
    <row r="138" spans="1:15" ht="24.75" customHeight="1">
      <c r="A138" s="50"/>
      <c r="B138" s="264" t="s">
        <v>178</v>
      </c>
      <c r="C138" s="264"/>
      <c r="D138" s="18">
        <v>1310.9</v>
      </c>
      <c r="E138" s="18">
        <v>1806.3</v>
      </c>
      <c r="F138" s="18">
        <v>1698.1</v>
      </c>
      <c r="G138" s="15">
        <f t="shared" si="18"/>
        <v>-108.20000000000005</v>
      </c>
      <c r="H138" s="15">
        <f t="shared" si="19"/>
        <v>94.009854398494156</v>
      </c>
    </row>
    <row r="139" spans="1:15" ht="24.75" customHeight="1">
      <c r="A139" s="50"/>
      <c r="B139" s="264" t="s">
        <v>170</v>
      </c>
      <c r="C139" s="264"/>
      <c r="D139" s="18">
        <v>136.9</v>
      </c>
      <c r="E139" s="166">
        <v>217.4</v>
      </c>
      <c r="F139" s="18">
        <v>220.2</v>
      </c>
      <c r="G139" s="15">
        <f t="shared" ref="G139:G202" si="20">F139-E139</f>
        <v>2.7999999999999829</v>
      </c>
      <c r="H139" s="15">
        <f t="shared" ref="H139:H202" si="21">(F139/E139)*100</f>
        <v>101.28794848206071</v>
      </c>
    </row>
    <row r="140" spans="1:15" ht="24.75" customHeight="1">
      <c r="A140" s="50" t="s">
        <v>231</v>
      </c>
      <c r="B140" s="57" t="s">
        <v>92</v>
      </c>
      <c r="C140" s="58">
        <v>1020</v>
      </c>
      <c r="D140" s="14">
        <f>D141</f>
        <v>229.39999999999998</v>
      </c>
      <c r="E140" s="14">
        <f>E141</f>
        <v>158.90000000000003</v>
      </c>
      <c r="F140" s="14">
        <f>F141</f>
        <v>133.19999999999999</v>
      </c>
      <c r="G140" s="19">
        <f t="shared" si="20"/>
        <v>-25.700000000000045</v>
      </c>
      <c r="H140" s="19">
        <f t="shared" si="21"/>
        <v>83.826305852737548</v>
      </c>
      <c r="I140" s="80"/>
      <c r="K140" s="25"/>
    </row>
    <row r="141" spans="1:15" ht="24.75" customHeight="1">
      <c r="A141" s="37" t="s">
        <v>232</v>
      </c>
      <c r="B141" s="56" t="s">
        <v>172</v>
      </c>
      <c r="C141" s="39">
        <v>1025</v>
      </c>
      <c r="D141" s="40">
        <f>SUM(D142:D145)</f>
        <v>229.39999999999998</v>
      </c>
      <c r="E141" s="40">
        <f>SUM(E142:E145)</f>
        <v>158.90000000000003</v>
      </c>
      <c r="F141" s="40">
        <f>SUM(F142:F145)</f>
        <v>133.19999999999999</v>
      </c>
      <c r="G141" s="41">
        <f t="shared" si="20"/>
        <v>-25.700000000000045</v>
      </c>
      <c r="H141" s="41">
        <f t="shared" si="21"/>
        <v>83.826305852737548</v>
      </c>
    </row>
    <row r="142" spans="1:15" ht="24.75" customHeight="1">
      <c r="A142" s="69"/>
      <c r="B142" s="267" t="s">
        <v>167</v>
      </c>
      <c r="C142" s="43"/>
      <c r="D142" s="18">
        <v>193.6</v>
      </c>
      <c r="E142" s="18">
        <v>103.5</v>
      </c>
      <c r="F142" s="18">
        <v>78.099999999999994</v>
      </c>
      <c r="G142" s="15">
        <f t="shared" si="20"/>
        <v>-25.400000000000006</v>
      </c>
      <c r="H142" s="15">
        <f t="shared" si="21"/>
        <v>75.45893719806763</v>
      </c>
    </row>
    <row r="143" spans="1:15" ht="24.75" customHeight="1">
      <c r="A143" s="69"/>
      <c r="B143" s="267" t="s">
        <v>168</v>
      </c>
      <c r="C143" s="43"/>
      <c r="D143" s="18">
        <v>3.6</v>
      </c>
      <c r="E143" s="18">
        <v>9.9</v>
      </c>
      <c r="F143" s="18">
        <v>9.6</v>
      </c>
      <c r="G143" s="15">
        <f t="shared" si="20"/>
        <v>-0.30000000000000071</v>
      </c>
      <c r="H143" s="15">
        <f t="shared" si="21"/>
        <v>96.969696969696955</v>
      </c>
    </row>
    <row r="144" spans="1:15" ht="24.75" customHeight="1">
      <c r="A144" s="69"/>
      <c r="B144" s="267" t="s">
        <v>169</v>
      </c>
      <c r="C144" s="43"/>
      <c r="D144" s="18">
        <v>30.5</v>
      </c>
      <c r="E144" s="18">
        <v>40.700000000000003</v>
      </c>
      <c r="F144" s="18">
        <v>43.5</v>
      </c>
      <c r="G144" s="15">
        <f t="shared" si="20"/>
        <v>2.7999999999999972</v>
      </c>
      <c r="H144" s="15">
        <f t="shared" si="21"/>
        <v>106.87960687960687</v>
      </c>
    </row>
    <row r="145" spans="1:12" ht="24.75" customHeight="1">
      <c r="A145" s="69"/>
      <c r="B145" s="267" t="s">
        <v>179</v>
      </c>
      <c r="C145" s="43"/>
      <c r="D145" s="18">
        <v>1.7</v>
      </c>
      <c r="E145" s="18">
        <v>4.8</v>
      </c>
      <c r="F145" s="18">
        <v>2</v>
      </c>
      <c r="G145" s="15">
        <f t="shared" si="20"/>
        <v>-2.8</v>
      </c>
      <c r="H145" s="15">
        <f t="shared" si="21"/>
        <v>41.666666666666671</v>
      </c>
    </row>
    <row r="146" spans="1:12" ht="30.75" customHeight="1">
      <c r="A146" s="36" t="s">
        <v>295</v>
      </c>
      <c r="B146" s="70" t="s">
        <v>212</v>
      </c>
      <c r="C146" s="58"/>
      <c r="D146" s="14">
        <f>D148</f>
        <v>548</v>
      </c>
      <c r="E146" s="14">
        <f>E148</f>
        <v>0</v>
      </c>
      <c r="F146" s="14">
        <f>F148</f>
        <v>3847.5</v>
      </c>
      <c r="G146" s="19">
        <f t="shared" si="20"/>
        <v>3847.5</v>
      </c>
      <c r="H146" s="191" t="e">
        <f t="shared" si="21"/>
        <v>#DIV/0!</v>
      </c>
    </row>
    <row r="147" spans="1:12" ht="24.75" customHeight="1">
      <c r="A147" s="69"/>
      <c r="B147" s="71" t="s">
        <v>86</v>
      </c>
      <c r="C147" s="43"/>
      <c r="D147" s="18"/>
      <c r="E147" s="18"/>
      <c r="F147" s="18"/>
      <c r="G147" s="15"/>
      <c r="H147" s="53"/>
    </row>
    <row r="148" spans="1:12" ht="27.75" customHeight="1">
      <c r="A148" s="36" t="s">
        <v>294</v>
      </c>
      <c r="B148" s="70" t="s">
        <v>90</v>
      </c>
      <c r="C148" s="58">
        <v>1010</v>
      </c>
      <c r="D148" s="14">
        <f>D149</f>
        <v>548</v>
      </c>
      <c r="E148" s="14"/>
      <c r="F148" s="14">
        <f>F149</f>
        <v>3847.5</v>
      </c>
      <c r="G148" s="19">
        <f t="shared" si="20"/>
        <v>3847.5</v>
      </c>
      <c r="H148" s="191" t="e">
        <f t="shared" si="21"/>
        <v>#DIV/0!</v>
      </c>
      <c r="I148" s="20"/>
    </row>
    <row r="149" spans="1:12" ht="27" customHeight="1">
      <c r="A149" s="66" t="s">
        <v>296</v>
      </c>
      <c r="B149" s="65" t="s">
        <v>106</v>
      </c>
      <c r="C149" s="39">
        <v>1011</v>
      </c>
      <c r="D149" s="40">
        <f>SUM(D151:D151)</f>
        <v>548</v>
      </c>
      <c r="E149" s="40">
        <f>SUM(E151:E151)</f>
        <v>0</v>
      </c>
      <c r="F149" s="40">
        <f>SUM(F150:F151)</f>
        <v>3847.5</v>
      </c>
      <c r="G149" s="41">
        <f t="shared" si="20"/>
        <v>3847.5</v>
      </c>
      <c r="H149" s="157" t="e">
        <f t="shared" si="21"/>
        <v>#DIV/0!</v>
      </c>
    </row>
    <row r="150" spans="1:12" ht="27" customHeight="1">
      <c r="A150" s="66"/>
      <c r="B150" s="17" t="s">
        <v>177</v>
      </c>
      <c r="C150" s="39"/>
      <c r="D150" s="40"/>
      <c r="E150" s="40"/>
      <c r="F150" s="18">
        <v>3782</v>
      </c>
      <c r="G150" s="41">
        <f t="shared" si="20"/>
        <v>3782</v>
      </c>
      <c r="H150" s="157" t="e">
        <f t="shared" si="21"/>
        <v>#DIV/0!</v>
      </c>
    </row>
    <row r="151" spans="1:12" ht="29.25" customHeight="1">
      <c r="A151" s="69"/>
      <c r="B151" s="17" t="s">
        <v>176</v>
      </c>
      <c r="C151" s="43"/>
      <c r="D151" s="18">
        <v>548</v>
      </c>
      <c r="E151" s="18"/>
      <c r="F151" s="18">
        <v>65.5</v>
      </c>
      <c r="G151" s="15">
        <f t="shared" si="20"/>
        <v>65.5</v>
      </c>
      <c r="H151" s="53" t="e">
        <f t="shared" si="21"/>
        <v>#DIV/0!</v>
      </c>
    </row>
    <row r="152" spans="1:12" ht="24.75" customHeight="1">
      <c r="A152" s="36" t="s">
        <v>297</v>
      </c>
      <c r="B152" s="54" t="s">
        <v>182</v>
      </c>
      <c r="C152" s="52"/>
      <c r="D152" s="14">
        <f>D154</f>
        <v>51.6</v>
      </c>
      <c r="E152" s="14">
        <f>E154</f>
        <v>57.8</v>
      </c>
      <c r="F152" s="14">
        <f>F154</f>
        <v>120</v>
      </c>
      <c r="G152" s="19">
        <f t="shared" si="20"/>
        <v>62.2</v>
      </c>
      <c r="H152" s="19">
        <f t="shared" si="21"/>
        <v>207.61245674740488</v>
      </c>
    </row>
    <row r="153" spans="1:12" ht="24.75" customHeight="1">
      <c r="A153" s="69"/>
      <c r="B153" s="35" t="s">
        <v>86</v>
      </c>
      <c r="C153" s="72"/>
      <c r="D153" s="18"/>
      <c r="E153" s="18"/>
      <c r="F153" s="18"/>
      <c r="G153" s="19"/>
      <c r="H153" s="19"/>
    </row>
    <row r="154" spans="1:12" ht="24.75" customHeight="1">
      <c r="A154" s="36" t="s">
        <v>298</v>
      </c>
      <c r="B154" s="59" t="s">
        <v>12</v>
      </c>
      <c r="C154" s="58">
        <v>1030</v>
      </c>
      <c r="D154" s="14">
        <f>D155</f>
        <v>51.6</v>
      </c>
      <c r="E154" s="14">
        <f>E155</f>
        <v>57.8</v>
      </c>
      <c r="F154" s="14">
        <f>F155</f>
        <v>120</v>
      </c>
      <c r="G154" s="19">
        <f t="shared" si="20"/>
        <v>62.2</v>
      </c>
      <c r="H154" s="19">
        <f t="shared" si="21"/>
        <v>207.61245674740488</v>
      </c>
    </row>
    <row r="155" spans="1:12" ht="24.75" customHeight="1">
      <c r="A155" s="66" t="s">
        <v>299</v>
      </c>
      <c r="B155" s="73" t="s">
        <v>93</v>
      </c>
      <c r="C155" s="39">
        <v>1035</v>
      </c>
      <c r="D155" s="40">
        <f>SUM(D156:D158)</f>
        <v>51.6</v>
      </c>
      <c r="E155" s="40">
        <f>SUM(E156:E158)</f>
        <v>57.8</v>
      </c>
      <c r="F155" s="40">
        <f>SUM(F156:F158)</f>
        <v>120</v>
      </c>
      <c r="G155" s="41">
        <f t="shared" si="20"/>
        <v>62.2</v>
      </c>
      <c r="H155" s="41">
        <f t="shared" si="21"/>
        <v>207.61245674740488</v>
      </c>
    </row>
    <row r="156" spans="1:12" ht="24.75" customHeight="1">
      <c r="A156" s="68"/>
      <c r="B156" s="17" t="s">
        <v>167</v>
      </c>
      <c r="C156" s="43"/>
      <c r="D156" s="18">
        <v>2.4</v>
      </c>
      <c r="E156" s="18">
        <v>5.2</v>
      </c>
      <c r="F156" s="18">
        <v>52.6</v>
      </c>
      <c r="G156" s="15">
        <f t="shared" si="20"/>
        <v>47.4</v>
      </c>
      <c r="H156" s="15">
        <f t="shared" si="21"/>
        <v>1011.5384615384615</v>
      </c>
    </row>
    <row r="157" spans="1:12" ht="24.75" customHeight="1">
      <c r="A157" s="68"/>
      <c r="B157" s="17" t="s">
        <v>168</v>
      </c>
      <c r="C157" s="43"/>
      <c r="D157" s="18">
        <v>7.1</v>
      </c>
      <c r="E157" s="18">
        <v>4</v>
      </c>
      <c r="F157" s="18">
        <v>3.3</v>
      </c>
      <c r="G157" s="15">
        <f t="shared" si="20"/>
        <v>-0.70000000000000018</v>
      </c>
      <c r="H157" s="15">
        <f t="shared" si="21"/>
        <v>82.5</v>
      </c>
    </row>
    <row r="158" spans="1:12" ht="26.25" customHeight="1">
      <c r="A158" s="36"/>
      <c r="B158" s="17" t="s">
        <v>169</v>
      </c>
      <c r="C158" s="43"/>
      <c r="D158" s="18">
        <v>42.1</v>
      </c>
      <c r="E158" s="18">
        <v>48.6</v>
      </c>
      <c r="F158" s="18">
        <v>64.099999999999994</v>
      </c>
      <c r="G158" s="15">
        <f t="shared" si="20"/>
        <v>15.499999999999993</v>
      </c>
      <c r="H158" s="15">
        <f t="shared" si="21"/>
        <v>131.89300411522632</v>
      </c>
    </row>
    <row r="159" spans="1:12" ht="33" customHeight="1">
      <c r="A159" s="36" t="s">
        <v>300</v>
      </c>
      <c r="B159" s="57" t="s">
        <v>183</v>
      </c>
      <c r="C159" s="178"/>
      <c r="D159" s="14">
        <f>D161+D176</f>
        <v>697.30000000000007</v>
      </c>
      <c r="E159" s="14">
        <f>E161+E176</f>
        <v>805</v>
      </c>
      <c r="F159" s="14">
        <f>F161+F176</f>
        <v>1302.8</v>
      </c>
      <c r="G159" s="19">
        <f t="shared" si="20"/>
        <v>497.79999999999995</v>
      </c>
      <c r="H159" s="19">
        <f t="shared" si="21"/>
        <v>161.83850931677017</v>
      </c>
      <c r="I159" s="2">
        <v>1347.1</v>
      </c>
      <c r="J159" s="25"/>
      <c r="K159" s="2"/>
      <c r="L159" s="5"/>
    </row>
    <row r="160" spans="1:12" ht="27" customHeight="1">
      <c r="A160" s="36"/>
      <c r="B160" s="35" t="s">
        <v>86</v>
      </c>
      <c r="C160" s="178"/>
      <c r="D160" s="18"/>
      <c r="E160" s="18"/>
      <c r="F160" s="18"/>
      <c r="G160" s="19"/>
      <c r="H160" s="19"/>
      <c r="I160" s="20"/>
    </row>
    <row r="161" spans="1:11" ht="32.25" customHeight="1">
      <c r="A161" s="36" t="s">
        <v>301</v>
      </c>
      <c r="B161" s="54" t="s">
        <v>90</v>
      </c>
      <c r="C161" s="178">
        <v>1010</v>
      </c>
      <c r="D161" s="14">
        <f>D165</f>
        <v>692.7</v>
      </c>
      <c r="E161" s="14">
        <f>E165</f>
        <v>795</v>
      </c>
      <c r="F161" s="14">
        <f>F165+F162</f>
        <v>788.2</v>
      </c>
      <c r="G161" s="19">
        <f t="shared" si="20"/>
        <v>-6.7999999999999545</v>
      </c>
      <c r="H161" s="19">
        <f t="shared" si="21"/>
        <v>99.144654088050316</v>
      </c>
      <c r="I161" s="20"/>
    </row>
    <row r="162" spans="1:11" ht="32.25" customHeight="1">
      <c r="A162" s="36" t="s">
        <v>302</v>
      </c>
      <c r="B162" s="65" t="s">
        <v>106</v>
      </c>
      <c r="C162" s="39">
        <v>1011</v>
      </c>
      <c r="D162" s="14"/>
      <c r="E162" s="14"/>
      <c r="F162" s="14">
        <f>SUM(F163:F164)</f>
        <v>270</v>
      </c>
      <c r="G162" s="19">
        <f t="shared" si="20"/>
        <v>270</v>
      </c>
      <c r="H162" s="191" t="e">
        <f t="shared" si="21"/>
        <v>#DIV/0!</v>
      </c>
      <c r="I162" s="20"/>
    </row>
    <row r="163" spans="1:11" ht="39.75" customHeight="1">
      <c r="A163" s="68"/>
      <c r="B163" s="17" t="s">
        <v>159</v>
      </c>
      <c r="C163" s="12"/>
      <c r="D163" s="18"/>
      <c r="E163" s="18"/>
      <c r="F163" s="18">
        <f>161+5</f>
        <v>166</v>
      </c>
      <c r="G163" s="15">
        <f t="shared" si="20"/>
        <v>166</v>
      </c>
      <c r="H163" s="53" t="e">
        <f t="shared" si="21"/>
        <v>#DIV/0!</v>
      </c>
      <c r="I163" s="20"/>
      <c r="J163" s="159"/>
      <c r="K163" s="2"/>
    </row>
    <row r="164" spans="1:11" ht="24.75" customHeight="1">
      <c r="A164" s="68"/>
      <c r="B164" s="17" t="s">
        <v>160</v>
      </c>
      <c r="C164" s="12"/>
      <c r="D164" s="18"/>
      <c r="E164" s="18"/>
      <c r="F164" s="18">
        <f>104</f>
        <v>104</v>
      </c>
      <c r="G164" s="15">
        <f t="shared" si="20"/>
        <v>104</v>
      </c>
      <c r="H164" s="53" t="e">
        <f t="shared" si="21"/>
        <v>#DIV/0!</v>
      </c>
      <c r="I164" s="20"/>
      <c r="J164" s="159"/>
      <c r="K164" s="2"/>
    </row>
    <row r="165" spans="1:11" ht="28.5" customHeight="1">
      <c r="A165" s="66" t="s">
        <v>302</v>
      </c>
      <c r="B165" s="38" t="s">
        <v>97</v>
      </c>
      <c r="C165" s="64">
        <v>1015</v>
      </c>
      <c r="D165" s="40">
        <f>SUM(D166:D175)</f>
        <v>692.7</v>
      </c>
      <c r="E165" s="40">
        <f>SUM(E166:E175)</f>
        <v>795</v>
      </c>
      <c r="F165" s="40">
        <f>SUM(F166:F175)</f>
        <v>518.20000000000005</v>
      </c>
      <c r="G165" s="41">
        <f t="shared" si="20"/>
        <v>-276.79999999999995</v>
      </c>
      <c r="H165" s="41">
        <f t="shared" si="21"/>
        <v>65.182389937106919</v>
      </c>
    </row>
    <row r="166" spans="1:11" ht="28.5" customHeight="1">
      <c r="A166" s="66"/>
      <c r="B166" s="17" t="s">
        <v>145</v>
      </c>
      <c r="C166" s="12"/>
      <c r="D166" s="18">
        <v>302.5</v>
      </c>
      <c r="E166" s="18">
        <v>100</v>
      </c>
      <c r="F166" s="40"/>
      <c r="G166" s="41">
        <f t="shared" si="20"/>
        <v>-100</v>
      </c>
      <c r="H166" s="41">
        <f t="shared" si="21"/>
        <v>0</v>
      </c>
    </row>
    <row r="167" spans="1:11" ht="28.5" customHeight="1">
      <c r="A167" s="66"/>
      <c r="B167" s="17" t="s">
        <v>147</v>
      </c>
      <c r="C167" s="12"/>
      <c r="D167" s="18">
        <v>180</v>
      </c>
      <c r="E167" s="18">
        <v>115</v>
      </c>
      <c r="F167" s="40"/>
      <c r="G167" s="41">
        <f t="shared" si="20"/>
        <v>-115</v>
      </c>
      <c r="H167" s="41">
        <f t="shared" si="21"/>
        <v>0</v>
      </c>
    </row>
    <row r="168" spans="1:11" ht="24.75" customHeight="1">
      <c r="A168" s="68"/>
      <c r="B168" s="17" t="s">
        <v>184</v>
      </c>
      <c r="C168" s="12"/>
      <c r="D168" s="18">
        <v>145.19999999999999</v>
      </c>
      <c r="E168" s="18">
        <v>180</v>
      </c>
      <c r="F168" s="18">
        <v>30</v>
      </c>
      <c r="G168" s="15">
        <f t="shared" si="20"/>
        <v>-150</v>
      </c>
      <c r="H168" s="15">
        <f t="shared" si="21"/>
        <v>16.666666666666664</v>
      </c>
    </row>
    <row r="169" spans="1:11" ht="24.75" customHeight="1">
      <c r="A169" s="68"/>
      <c r="B169" s="17" t="s">
        <v>174</v>
      </c>
      <c r="C169" s="12"/>
      <c r="D169" s="18"/>
      <c r="E169" s="18"/>
      <c r="F169" s="18">
        <f>55+30</f>
        <v>85</v>
      </c>
      <c r="G169" s="15">
        <f t="shared" si="20"/>
        <v>85</v>
      </c>
      <c r="H169" s="53" t="e">
        <f t="shared" si="21"/>
        <v>#DIV/0!</v>
      </c>
    </row>
    <row r="170" spans="1:11" ht="24.75" customHeight="1">
      <c r="A170" s="68"/>
      <c r="B170" s="17" t="s">
        <v>222</v>
      </c>
      <c r="C170" s="12"/>
      <c r="D170" s="18"/>
      <c r="E170" s="18"/>
      <c r="F170" s="18">
        <v>18</v>
      </c>
      <c r="G170" s="15">
        <f t="shared" si="20"/>
        <v>18</v>
      </c>
      <c r="H170" s="53" t="e">
        <f t="shared" si="21"/>
        <v>#DIV/0!</v>
      </c>
    </row>
    <row r="171" spans="1:11" ht="24.75" customHeight="1">
      <c r="A171" s="68"/>
      <c r="B171" s="17" t="s">
        <v>150</v>
      </c>
      <c r="C171" s="12"/>
      <c r="D171" s="18"/>
      <c r="E171" s="18"/>
      <c r="F171" s="18">
        <f>12+40</f>
        <v>52</v>
      </c>
      <c r="G171" s="15">
        <f t="shared" si="20"/>
        <v>52</v>
      </c>
      <c r="H171" s="53" t="e">
        <f t="shared" si="21"/>
        <v>#DIV/0!</v>
      </c>
    </row>
    <row r="172" spans="1:11" ht="24.75" customHeight="1">
      <c r="A172" s="68"/>
      <c r="B172" s="17" t="s">
        <v>163</v>
      </c>
      <c r="C172" s="12"/>
      <c r="D172" s="18"/>
      <c r="E172" s="18"/>
      <c r="F172" s="18">
        <f>12+20</f>
        <v>32</v>
      </c>
      <c r="G172" s="15">
        <f t="shared" si="20"/>
        <v>32</v>
      </c>
      <c r="H172" s="53" t="e">
        <f t="shared" si="21"/>
        <v>#DIV/0!</v>
      </c>
    </row>
    <row r="173" spans="1:11" ht="24.75" customHeight="1">
      <c r="A173" s="68"/>
      <c r="B173" s="17" t="s">
        <v>508</v>
      </c>
      <c r="C173" s="12"/>
      <c r="D173" s="18"/>
      <c r="E173" s="18"/>
      <c r="F173" s="18">
        <f>5.2</f>
        <v>5.2</v>
      </c>
      <c r="G173" s="15">
        <f t="shared" si="20"/>
        <v>5.2</v>
      </c>
      <c r="H173" s="53" t="e">
        <f t="shared" si="21"/>
        <v>#DIV/0!</v>
      </c>
    </row>
    <row r="174" spans="1:11" ht="39.75" customHeight="1">
      <c r="A174" s="68"/>
      <c r="B174" s="17" t="s">
        <v>321</v>
      </c>
      <c r="C174" s="12"/>
      <c r="D174" s="18"/>
      <c r="E174" s="18"/>
      <c r="F174" s="18">
        <f>75+30</f>
        <v>105</v>
      </c>
      <c r="G174" s="15">
        <f t="shared" si="20"/>
        <v>105</v>
      </c>
      <c r="H174" s="53" t="e">
        <f t="shared" si="21"/>
        <v>#DIV/0!</v>
      </c>
    </row>
    <row r="175" spans="1:11" ht="24.75" customHeight="1">
      <c r="A175" s="68"/>
      <c r="B175" s="17" t="s">
        <v>195</v>
      </c>
      <c r="C175" s="12"/>
      <c r="D175" s="18">
        <v>65</v>
      </c>
      <c r="E175" s="18">
        <v>400</v>
      </c>
      <c r="F175" s="18">
        <f>191</f>
        <v>191</v>
      </c>
      <c r="G175" s="15">
        <f t="shared" si="20"/>
        <v>-209</v>
      </c>
      <c r="H175" s="15">
        <f t="shared" si="21"/>
        <v>47.75</v>
      </c>
    </row>
    <row r="176" spans="1:11" ht="28.5" customHeight="1">
      <c r="A176" s="36" t="s">
        <v>303</v>
      </c>
      <c r="B176" s="158" t="s">
        <v>92</v>
      </c>
      <c r="C176" s="178">
        <v>1020</v>
      </c>
      <c r="D176" s="14">
        <f t="shared" ref="D176:F176" si="22">D177</f>
        <v>4.5999999999999996</v>
      </c>
      <c r="E176" s="14">
        <f t="shared" si="22"/>
        <v>10</v>
      </c>
      <c r="F176" s="14">
        <f t="shared" si="22"/>
        <v>514.59999999999991</v>
      </c>
      <c r="G176" s="19">
        <f t="shared" si="20"/>
        <v>504.59999999999991</v>
      </c>
      <c r="H176" s="19">
        <f t="shared" si="21"/>
        <v>5145.9999999999991</v>
      </c>
    </row>
    <row r="177" spans="1:8" ht="30" customHeight="1">
      <c r="A177" s="66" t="s">
        <v>304</v>
      </c>
      <c r="B177" s="56" t="s">
        <v>172</v>
      </c>
      <c r="C177" s="39">
        <v>1025</v>
      </c>
      <c r="D177" s="40">
        <f>D187</f>
        <v>4.5999999999999996</v>
      </c>
      <c r="E177" s="40">
        <f>E187+E188</f>
        <v>10</v>
      </c>
      <c r="F177" s="40">
        <f>SUM(F178:F188)</f>
        <v>514.59999999999991</v>
      </c>
      <c r="G177" s="41">
        <f t="shared" si="20"/>
        <v>504.59999999999991</v>
      </c>
      <c r="H177" s="41">
        <f t="shared" si="21"/>
        <v>5145.9999999999991</v>
      </c>
    </row>
    <row r="178" spans="1:8" ht="30" customHeight="1">
      <c r="A178" s="66"/>
      <c r="B178" s="268" t="s">
        <v>151</v>
      </c>
      <c r="C178" s="43"/>
      <c r="D178" s="40"/>
      <c r="E178" s="18"/>
      <c r="F178" s="18">
        <f>53+121</f>
        <v>174</v>
      </c>
      <c r="G178" s="41">
        <f t="shared" si="20"/>
        <v>174</v>
      </c>
      <c r="H178" s="157" t="e">
        <f t="shared" si="21"/>
        <v>#DIV/0!</v>
      </c>
    </row>
    <row r="179" spans="1:8" ht="30" customHeight="1">
      <c r="A179" s="66"/>
      <c r="B179" s="21" t="s">
        <v>163</v>
      </c>
      <c r="C179" s="43"/>
      <c r="D179" s="40"/>
      <c r="E179" s="18"/>
      <c r="F179" s="18">
        <v>41</v>
      </c>
      <c r="G179" s="41">
        <f t="shared" si="20"/>
        <v>41</v>
      </c>
      <c r="H179" s="157" t="e">
        <f t="shared" si="21"/>
        <v>#DIV/0!</v>
      </c>
    </row>
    <row r="180" spans="1:8" ht="30" customHeight="1">
      <c r="A180" s="66"/>
      <c r="B180" s="17" t="s">
        <v>165</v>
      </c>
      <c r="C180" s="43"/>
      <c r="D180" s="40"/>
      <c r="E180" s="18"/>
      <c r="F180" s="18">
        <f>27+48</f>
        <v>75</v>
      </c>
      <c r="G180" s="41">
        <f t="shared" si="20"/>
        <v>75</v>
      </c>
      <c r="H180" s="157" t="e">
        <f t="shared" si="21"/>
        <v>#DIV/0!</v>
      </c>
    </row>
    <row r="181" spans="1:8" ht="30" customHeight="1">
      <c r="A181" s="66"/>
      <c r="B181" s="17" t="s">
        <v>156</v>
      </c>
      <c r="C181" s="43"/>
      <c r="D181" s="40"/>
      <c r="E181" s="18"/>
      <c r="F181" s="18">
        <v>12</v>
      </c>
      <c r="G181" s="41">
        <f t="shared" si="20"/>
        <v>12</v>
      </c>
      <c r="H181" s="157" t="e">
        <f t="shared" si="21"/>
        <v>#DIV/0!</v>
      </c>
    </row>
    <row r="182" spans="1:8" ht="30" customHeight="1">
      <c r="A182" s="66"/>
      <c r="B182" s="17" t="s">
        <v>243</v>
      </c>
      <c r="C182" s="43"/>
      <c r="D182" s="40"/>
      <c r="E182" s="18"/>
      <c r="F182" s="18">
        <f>55+40</f>
        <v>95</v>
      </c>
      <c r="G182" s="41">
        <f t="shared" si="20"/>
        <v>95</v>
      </c>
      <c r="H182" s="157" t="e">
        <f t="shared" si="21"/>
        <v>#DIV/0!</v>
      </c>
    </row>
    <row r="183" spans="1:8" ht="30" customHeight="1">
      <c r="A183" s="66"/>
      <c r="B183" s="21" t="s">
        <v>248</v>
      </c>
      <c r="C183" s="43"/>
      <c r="D183" s="40"/>
      <c r="E183" s="18"/>
      <c r="F183" s="18">
        <f>6.2+30</f>
        <v>36.200000000000003</v>
      </c>
      <c r="G183" s="41">
        <f t="shared" si="20"/>
        <v>36.200000000000003</v>
      </c>
      <c r="H183" s="157" t="e">
        <f t="shared" si="21"/>
        <v>#DIV/0!</v>
      </c>
    </row>
    <row r="184" spans="1:8" ht="30" customHeight="1">
      <c r="A184" s="66"/>
      <c r="B184" s="21" t="s">
        <v>207</v>
      </c>
      <c r="C184" s="43"/>
      <c r="D184" s="40"/>
      <c r="E184" s="18"/>
      <c r="F184" s="18">
        <f>18.9+10</f>
        <v>28.9</v>
      </c>
      <c r="G184" s="41">
        <f t="shared" si="20"/>
        <v>28.9</v>
      </c>
      <c r="H184" s="157" t="e">
        <f t="shared" si="21"/>
        <v>#DIV/0!</v>
      </c>
    </row>
    <row r="185" spans="1:8" ht="30" customHeight="1">
      <c r="A185" s="66"/>
      <c r="B185" s="17" t="s">
        <v>225</v>
      </c>
      <c r="C185" s="43"/>
      <c r="D185" s="18"/>
      <c r="E185" s="18"/>
      <c r="F185" s="18">
        <v>7</v>
      </c>
      <c r="G185" s="41">
        <f t="shared" si="20"/>
        <v>7</v>
      </c>
      <c r="H185" s="157" t="e">
        <f t="shared" si="21"/>
        <v>#DIV/0!</v>
      </c>
    </row>
    <row r="186" spans="1:8" ht="30" customHeight="1">
      <c r="A186" s="66"/>
      <c r="B186" s="21" t="s">
        <v>247</v>
      </c>
      <c r="C186" s="43"/>
      <c r="D186" s="18"/>
      <c r="E186" s="18"/>
      <c r="F186" s="18">
        <f>14.3+31.2</f>
        <v>45.5</v>
      </c>
      <c r="G186" s="41">
        <f t="shared" si="20"/>
        <v>45.5</v>
      </c>
      <c r="H186" s="157" t="e">
        <f t="shared" si="21"/>
        <v>#DIV/0!</v>
      </c>
    </row>
    <row r="187" spans="1:8" ht="24.75" customHeight="1">
      <c r="A187" s="36"/>
      <c r="B187" s="21" t="s">
        <v>185</v>
      </c>
      <c r="C187" s="43"/>
      <c r="D187" s="18">
        <v>4.5999999999999996</v>
      </c>
      <c r="E187" s="18">
        <v>5</v>
      </c>
      <c r="F187" s="18"/>
      <c r="G187" s="15">
        <f t="shared" si="20"/>
        <v>-5</v>
      </c>
      <c r="H187" s="15">
        <f t="shared" si="21"/>
        <v>0</v>
      </c>
    </row>
    <row r="188" spans="1:8" ht="24.75" customHeight="1">
      <c r="A188" s="36"/>
      <c r="B188" s="21" t="s">
        <v>251</v>
      </c>
      <c r="C188" s="43"/>
      <c r="D188" s="18"/>
      <c r="E188" s="18">
        <v>5</v>
      </c>
      <c r="F188" s="18"/>
      <c r="G188" s="15">
        <f t="shared" si="20"/>
        <v>-5</v>
      </c>
      <c r="H188" s="15">
        <f t="shared" si="21"/>
        <v>0</v>
      </c>
    </row>
    <row r="189" spans="1:8" ht="30" customHeight="1">
      <c r="A189" s="36" t="s">
        <v>305</v>
      </c>
      <c r="B189" s="57" t="s">
        <v>244</v>
      </c>
      <c r="C189" s="58"/>
      <c r="D189" s="14">
        <f>D191</f>
        <v>5.9</v>
      </c>
      <c r="E189" s="14"/>
      <c r="F189" s="14">
        <f>F191</f>
        <v>9.8000000000000007</v>
      </c>
      <c r="G189" s="19">
        <f t="shared" si="20"/>
        <v>9.8000000000000007</v>
      </c>
      <c r="H189" s="191" t="e">
        <f t="shared" si="21"/>
        <v>#DIV/0!</v>
      </c>
    </row>
    <row r="190" spans="1:8" ht="28.5" customHeight="1">
      <c r="A190" s="36"/>
      <c r="B190" s="190" t="s">
        <v>86</v>
      </c>
      <c r="C190" s="43"/>
      <c r="D190" s="111"/>
      <c r="E190" s="18"/>
      <c r="F190" s="18"/>
      <c r="G190" s="15"/>
      <c r="H190" s="53"/>
    </row>
    <row r="191" spans="1:8" ht="27" customHeight="1">
      <c r="A191" s="36" t="s">
        <v>306</v>
      </c>
      <c r="B191" s="57" t="s">
        <v>245</v>
      </c>
      <c r="C191" s="58">
        <v>1030</v>
      </c>
      <c r="D191" s="14">
        <f>D192</f>
        <v>5.9</v>
      </c>
      <c r="E191" s="14"/>
      <c r="F191" s="14">
        <f>F192</f>
        <v>9.8000000000000007</v>
      </c>
      <c r="G191" s="19">
        <f t="shared" si="20"/>
        <v>9.8000000000000007</v>
      </c>
      <c r="H191" s="191" t="e">
        <f t="shared" si="21"/>
        <v>#DIV/0!</v>
      </c>
    </row>
    <row r="192" spans="1:8" ht="27" customHeight="1">
      <c r="A192" s="66" t="s">
        <v>307</v>
      </c>
      <c r="B192" s="56" t="s">
        <v>245</v>
      </c>
      <c r="C192" s="39">
        <v>1035</v>
      </c>
      <c r="D192" s="40">
        <f>D193</f>
        <v>5.9</v>
      </c>
      <c r="E192" s="40"/>
      <c r="F192" s="40">
        <f>F193</f>
        <v>9.8000000000000007</v>
      </c>
      <c r="G192" s="41">
        <f t="shared" si="20"/>
        <v>9.8000000000000007</v>
      </c>
      <c r="H192" s="157" t="e">
        <f t="shared" si="21"/>
        <v>#DIV/0!</v>
      </c>
    </row>
    <row r="193" spans="1:15" ht="24.75" customHeight="1">
      <c r="A193" s="36"/>
      <c r="B193" s="21" t="s">
        <v>246</v>
      </c>
      <c r="C193" s="43"/>
      <c r="D193" s="18">
        <v>5.9</v>
      </c>
      <c r="E193" s="18"/>
      <c r="F193" s="18">
        <v>9.8000000000000007</v>
      </c>
      <c r="G193" s="15">
        <f t="shared" si="20"/>
        <v>9.8000000000000007</v>
      </c>
      <c r="H193" s="53" t="e">
        <f t="shared" si="21"/>
        <v>#DIV/0!</v>
      </c>
    </row>
    <row r="194" spans="1:15" ht="26.25" customHeight="1">
      <c r="A194" s="36" t="s">
        <v>180</v>
      </c>
      <c r="B194" s="158" t="s">
        <v>198</v>
      </c>
      <c r="C194" s="205"/>
      <c r="D194" s="14">
        <f>D196</f>
        <v>2886.2</v>
      </c>
      <c r="E194" s="14">
        <f>E196</f>
        <v>0</v>
      </c>
      <c r="F194" s="14">
        <f>F196+F210</f>
        <v>1425.8000000000002</v>
      </c>
      <c r="G194" s="19">
        <f t="shared" si="20"/>
        <v>1425.8000000000002</v>
      </c>
      <c r="H194" s="53" t="e">
        <f t="shared" si="21"/>
        <v>#DIV/0!</v>
      </c>
      <c r="I194" s="20">
        <f>'Розшифровка 1 до Формування'!F16</f>
        <v>1425.8</v>
      </c>
    </row>
    <row r="195" spans="1:15" ht="27.75" customHeight="1">
      <c r="A195" s="68"/>
      <c r="B195" s="35" t="s">
        <v>86</v>
      </c>
      <c r="C195" s="12"/>
      <c r="D195" s="18"/>
      <c r="E195" s="18">
        <f>E197</f>
        <v>0</v>
      </c>
      <c r="F195" s="18"/>
      <c r="G195" s="19"/>
      <c r="H195" s="191"/>
    </row>
    <row r="196" spans="1:15" ht="27" customHeight="1">
      <c r="A196" s="36" t="s">
        <v>233</v>
      </c>
      <c r="B196" s="158" t="s">
        <v>90</v>
      </c>
      <c r="C196" s="178">
        <v>1010</v>
      </c>
      <c r="D196" s="14">
        <f>D197+D203</f>
        <v>2886.2</v>
      </c>
      <c r="E196" s="14"/>
      <c r="F196" s="14">
        <f>F197+F203</f>
        <v>1420.8000000000002</v>
      </c>
      <c r="G196" s="19">
        <f t="shared" si="20"/>
        <v>1420.8000000000002</v>
      </c>
      <c r="H196" s="191" t="e">
        <f t="shared" si="21"/>
        <v>#DIV/0!</v>
      </c>
    </row>
    <row r="197" spans="1:15" s="82" customFormat="1" ht="24.75" customHeight="1">
      <c r="A197" s="66" t="s">
        <v>234</v>
      </c>
      <c r="B197" s="56" t="s">
        <v>106</v>
      </c>
      <c r="C197" s="39">
        <v>1011</v>
      </c>
      <c r="D197" s="40">
        <f>SUM(D198:D202)</f>
        <v>2491.9999999999995</v>
      </c>
      <c r="E197" s="40"/>
      <c r="F197" s="40">
        <f>SUM(F198:F202)</f>
        <v>1331.5000000000002</v>
      </c>
      <c r="G197" s="41">
        <f t="shared" si="20"/>
        <v>1331.5000000000002</v>
      </c>
      <c r="H197" s="157" t="e">
        <f t="shared" si="21"/>
        <v>#DIV/0!</v>
      </c>
      <c r="J197" s="86"/>
      <c r="O197" s="84"/>
    </row>
    <row r="198" spans="1:15" ht="24.75" customHeight="1">
      <c r="A198" s="36"/>
      <c r="B198" s="21" t="s">
        <v>192</v>
      </c>
      <c r="C198" s="58"/>
      <c r="D198" s="18">
        <v>2071.1</v>
      </c>
      <c r="E198" s="18"/>
      <c r="F198" s="18">
        <f>1229.4-77.3</f>
        <v>1152.1000000000001</v>
      </c>
      <c r="G198" s="15">
        <f t="shared" si="20"/>
        <v>1152.1000000000001</v>
      </c>
      <c r="H198" s="53" t="e">
        <f t="shared" si="21"/>
        <v>#DIV/0!</v>
      </c>
    </row>
    <row r="199" spans="1:15" ht="24.75" customHeight="1">
      <c r="A199" s="36"/>
      <c r="B199" s="21" t="s">
        <v>173</v>
      </c>
      <c r="C199" s="58"/>
      <c r="D199" s="18">
        <v>31.7</v>
      </c>
      <c r="E199" s="18"/>
      <c r="F199" s="18">
        <v>32.1</v>
      </c>
      <c r="G199" s="15">
        <f t="shared" si="20"/>
        <v>32.1</v>
      </c>
      <c r="H199" s="53" t="e">
        <f t="shared" si="21"/>
        <v>#DIV/0!</v>
      </c>
    </row>
    <row r="200" spans="1:15" ht="24.75" customHeight="1">
      <c r="A200" s="36"/>
      <c r="B200" s="21" t="s">
        <v>138</v>
      </c>
      <c r="C200" s="58"/>
      <c r="D200" s="18">
        <v>198.2</v>
      </c>
      <c r="E200" s="18"/>
      <c r="F200" s="18">
        <v>110.4</v>
      </c>
      <c r="G200" s="15">
        <f t="shared" si="20"/>
        <v>110.4</v>
      </c>
      <c r="H200" s="53" t="e">
        <f t="shared" si="21"/>
        <v>#DIV/0!</v>
      </c>
    </row>
    <row r="201" spans="1:15" ht="24.75" customHeight="1">
      <c r="A201" s="36"/>
      <c r="B201" s="21" t="s">
        <v>199</v>
      </c>
      <c r="C201" s="58"/>
      <c r="D201" s="18">
        <v>3</v>
      </c>
      <c r="E201" s="18"/>
      <c r="F201" s="18">
        <f>7.8+5.4</f>
        <v>13.2</v>
      </c>
      <c r="G201" s="15">
        <f t="shared" si="20"/>
        <v>13.2</v>
      </c>
      <c r="H201" s="53" t="e">
        <f t="shared" si="21"/>
        <v>#DIV/0!</v>
      </c>
    </row>
    <row r="202" spans="1:15" ht="40.5" customHeight="1">
      <c r="A202" s="36"/>
      <c r="B202" s="17" t="s">
        <v>193</v>
      </c>
      <c r="C202" s="58"/>
      <c r="D202" s="18">
        <v>188</v>
      </c>
      <c r="E202" s="18"/>
      <c r="F202" s="18">
        <f>23.7</f>
        <v>23.7</v>
      </c>
      <c r="G202" s="15">
        <f t="shared" si="20"/>
        <v>23.7</v>
      </c>
      <c r="H202" s="53" t="e">
        <f t="shared" si="21"/>
        <v>#DIV/0!</v>
      </c>
      <c r="I202" s="20"/>
    </row>
    <row r="203" spans="1:15" s="82" customFormat="1" ht="27" customHeight="1">
      <c r="A203" s="66" t="s">
        <v>235</v>
      </c>
      <c r="B203" s="67" t="s">
        <v>97</v>
      </c>
      <c r="C203" s="64">
        <v>1015</v>
      </c>
      <c r="D203" s="40">
        <f>SUM(D204:D209)</f>
        <v>394.20000000000005</v>
      </c>
      <c r="E203" s="40">
        <f>SUM(E204:E209)</f>
        <v>0</v>
      </c>
      <c r="F203" s="40">
        <f>SUM(F204:F209)</f>
        <v>89.3</v>
      </c>
      <c r="G203" s="41">
        <f t="shared" ref="G203:G253" si="23">F203-E203</f>
        <v>89.3</v>
      </c>
      <c r="H203" s="157" t="e">
        <f t="shared" ref="H203:H253" si="24">(F203/E203)*100</f>
        <v>#DIV/0!</v>
      </c>
      <c r="J203" s="86"/>
      <c r="O203" s="84"/>
    </row>
    <row r="204" spans="1:15" ht="27" customHeight="1">
      <c r="A204" s="68"/>
      <c r="B204" s="74" t="s">
        <v>147</v>
      </c>
      <c r="C204" s="12"/>
      <c r="D204" s="18">
        <v>2.1</v>
      </c>
      <c r="E204" s="18"/>
      <c r="F204" s="18"/>
      <c r="G204" s="15">
        <f t="shared" si="23"/>
        <v>0</v>
      </c>
      <c r="H204" s="53" t="e">
        <f t="shared" si="24"/>
        <v>#DIV/0!</v>
      </c>
      <c r="J204" s="159"/>
      <c r="K204" s="2"/>
    </row>
    <row r="205" spans="1:15" ht="27" customHeight="1">
      <c r="A205" s="68"/>
      <c r="B205" s="74" t="s">
        <v>507</v>
      </c>
      <c r="C205" s="12"/>
      <c r="D205" s="18"/>
      <c r="E205" s="18"/>
      <c r="F205" s="18">
        <f>2.7+5.9</f>
        <v>8.6000000000000014</v>
      </c>
      <c r="G205" s="15">
        <f t="shared" si="23"/>
        <v>8.6000000000000014</v>
      </c>
      <c r="H205" s="53" t="e">
        <f t="shared" si="24"/>
        <v>#DIV/0!</v>
      </c>
      <c r="J205" s="159"/>
      <c r="K205" s="2"/>
    </row>
    <row r="206" spans="1:15" ht="24.75" customHeight="1">
      <c r="A206" s="36"/>
      <c r="B206" s="17" t="s">
        <v>164</v>
      </c>
      <c r="C206" s="12"/>
      <c r="D206" s="18">
        <v>319.8</v>
      </c>
      <c r="E206" s="18"/>
      <c r="F206" s="18">
        <f>75.9</f>
        <v>75.900000000000006</v>
      </c>
      <c r="G206" s="15">
        <f t="shared" si="23"/>
        <v>75.900000000000006</v>
      </c>
      <c r="H206" s="53" t="e">
        <f t="shared" si="24"/>
        <v>#DIV/0!</v>
      </c>
    </row>
    <row r="207" spans="1:15" ht="24.75" customHeight="1">
      <c r="A207" s="36"/>
      <c r="B207" s="17" t="s">
        <v>184</v>
      </c>
      <c r="C207" s="12"/>
      <c r="D207" s="18">
        <v>67.2</v>
      </c>
      <c r="E207" s="18"/>
      <c r="F207" s="18">
        <f>4.8</f>
        <v>4.8</v>
      </c>
      <c r="G207" s="15">
        <f t="shared" si="23"/>
        <v>4.8</v>
      </c>
      <c r="H207" s="53" t="e">
        <f t="shared" si="24"/>
        <v>#DIV/0!</v>
      </c>
    </row>
    <row r="208" spans="1:15" ht="24.75" customHeight="1">
      <c r="A208" s="36"/>
      <c r="B208" s="17" t="s">
        <v>174</v>
      </c>
      <c r="C208" s="12"/>
      <c r="D208" s="18">
        <v>2.6</v>
      </c>
      <c r="E208" s="18"/>
      <c r="F208" s="18"/>
      <c r="G208" s="15">
        <f t="shared" si="23"/>
        <v>0</v>
      </c>
      <c r="H208" s="53" t="e">
        <f t="shared" si="24"/>
        <v>#DIV/0!</v>
      </c>
    </row>
    <row r="209" spans="1:15" ht="24.75" customHeight="1">
      <c r="A209" s="36"/>
      <c r="B209" s="17" t="s">
        <v>170</v>
      </c>
      <c r="C209" s="12"/>
      <c r="D209" s="18">
        <v>2.5</v>
      </c>
      <c r="E209" s="18"/>
      <c r="F209" s="18"/>
      <c r="G209" s="15">
        <f t="shared" si="23"/>
        <v>0</v>
      </c>
      <c r="H209" s="53" t="e">
        <f t="shared" si="24"/>
        <v>#DIV/0!</v>
      </c>
    </row>
    <row r="210" spans="1:15" s="5" customFormat="1" ht="24.75" customHeight="1">
      <c r="A210" s="36"/>
      <c r="B210" s="57" t="s">
        <v>245</v>
      </c>
      <c r="C210" s="58">
        <v>1030</v>
      </c>
      <c r="D210" s="14"/>
      <c r="E210" s="14"/>
      <c r="F210" s="14">
        <f>F211</f>
        <v>5</v>
      </c>
      <c r="G210" s="19">
        <f t="shared" si="23"/>
        <v>5</v>
      </c>
      <c r="H210" s="191" t="e">
        <f t="shared" si="24"/>
        <v>#DIV/0!</v>
      </c>
      <c r="J210" s="85"/>
      <c r="O210" s="77"/>
    </row>
    <row r="211" spans="1:15" s="82" customFormat="1" ht="24.75" customHeight="1">
      <c r="A211" s="66"/>
      <c r="B211" s="56" t="s">
        <v>245</v>
      </c>
      <c r="C211" s="39">
        <v>1035</v>
      </c>
      <c r="D211" s="40"/>
      <c r="E211" s="40"/>
      <c r="F211" s="40">
        <f>F212</f>
        <v>5</v>
      </c>
      <c r="G211" s="41">
        <f t="shared" si="23"/>
        <v>5</v>
      </c>
      <c r="H211" s="157" t="e">
        <f t="shared" si="24"/>
        <v>#DIV/0!</v>
      </c>
      <c r="J211" s="86"/>
      <c r="O211" s="84"/>
    </row>
    <row r="212" spans="1:15" ht="24.75" customHeight="1">
      <c r="A212" s="36"/>
      <c r="B212" s="17" t="s">
        <v>226</v>
      </c>
      <c r="C212" s="12"/>
      <c r="D212" s="18"/>
      <c r="E212" s="18"/>
      <c r="F212" s="18">
        <f>5</f>
        <v>5</v>
      </c>
      <c r="G212" s="15">
        <f t="shared" si="23"/>
        <v>5</v>
      </c>
      <c r="H212" s="53" t="e">
        <f t="shared" si="24"/>
        <v>#DIV/0!</v>
      </c>
    </row>
    <row r="213" spans="1:15" ht="24.75" customHeight="1">
      <c r="A213" s="36" t="s">
        <v>181</v>
      </c>
      <c r="B213" s="158" t="s">
        <v>256</v>
      </c>
      <c r="C213" s="178"/>
      <c r="D213" s="14">
        <f>D215</f>
        <v>0</v>
      </c>
      <c r="E213" s="14">
        <f>E215</f>
        <v>0</v>
      </c>
      <c r="F213" s="14">
        <f>F215</f>
        <v>77.3</v>
      </c>
      <c r="G213" s="19">
        <f t="shared" si="23"/>
        <v>77.3</v>
      </c>
      <c r="H213" s="191" t="e">
        <f t="shared" si="24"/>
        <v>#DIV/0!</v>
      </c>
      <c r="I213" s="20">
        <f>F194-I194</f>
        <v>0</v>
      </c>
    </row>
    <row r="214" spans="1:15" ht="24.75" customHeight="1">
      <c r="A214" s="36"/>
      <c r="B214" s="62" t="s">
        <v>86</v>
      </c>
      <c r="C214" s="12"/>
      <c r="D214" s="18"/>
      <c r="E214" s="18">
        <f>E216</f>
        <v>0</v>
      </c>
      <c r="F214" s="18"/>
      <c r="G214" s="15">
        <f t="shared" si="23"/>
        <v>0</v>
      </c>
      <c r="H214" s="53" t="e">
        <f t="shared" si="24"/>
        <v>#DIV/0!</v>
      </c>
    </row>
    <row r="215" spans="1:15" ht="24.75" customHeight="1">
      <c r="A215" s="36" t="s">
        <v>236</v>
      </c>
      <c r="B215" s="54" t="s">
        <v>90</v>
      </c>
      <c r="C215" s="178">
        <v>1010</v>
      </c>
      <c r="D215" s="14">
        <f>D216+D219</f>
        <v>0</v>
      </c>
      <c r="E215" s="14"/>
      <c r="F215" s="14">
        <f>F216+F219</f>
        <v>77.3</v>
      </c>
      <c r="G215" s="19">
        <f t="shared" si="23"/>
        <v>77.3</v>
      </c>
      <c r="H215" s="191" t="e">
        <f t="shared" si="24"/>
        <v>#DIV/0!</v>
      </c>
    </row>
    <row r="216" spans="1:15" ht="29.25" customHeight="1">
      <c r="A216" s="66" t="s">
        <v>237</v>
      </c>
      <c r="B216" s="38" t="s">
        <v>106</v>
      </c>
      <c r="C216" s="64">
        <v>1011</v>
      </c>
      <c r="D216" s="40">
        <f>SUM(D217:D217)</f>
        <v>0</v>
      </c>
      <c r="E216" s="40">
        <f>SUM(E217:E217)</f>
        <v>0</v>
      </c>
      <c r="F216" s="40">
        <f>SUM(F217:F217)</f>
        <v>77.3</v>
      </c>
      <c r="G216" s="41">
        <f t="shared" si="23"/>
        <v>77.3</v>
      </c>
      <c r="H216" s="157" t="e">
        <f t="shared" si="24"/>
        <v>#DIV/0!</v>
      </c>
    </row>
    <row r="217" spans="1:15" ht="28.5" customHeight="1">
      <c r="A217" s="36" t="s">
        <v>253</v>
      </c>
      <c r="B217" s="21" t="s">
        <v>192</v>
      </c>
      <c r="C217" s="12"/>
      <c r="D217" s="18"/>
      <c r="E217" s="18"/>
      <c r="F217" s="18">
        <v>77.3</v>
      </c>
      <c r="G217" s="15">
        <f t="shared" si="23"/>
        <v>77.3</v>
      </c>
      <c r="H217" s="53" t="e">
        <f t="shared" si="24"/>
        <v>#DIV/0!</v>
      </c>
    </row>
    <row r="218" spans="1:15" ht="24.75" customHeight="1">
      <c r="A218" s="36" t="s">
        <v>241</v>
      </c>
      <c r="B218" s="54" t="s">
        <v>200</v>
      </c>
      <c r="C218" s="178"/>
      <c r="D218" s="14">
        <f>D220+D234+D243</f>
        <v>333</v>
      </c>
      <c r="E218" s="14">
        <f>E220+E234</f>
        <v>0</v>
      </c>
      <c r="F218" s="14">
        <f>F220+F234+F243</f>
        <v>203.8</v>
      </c>
      <c r="G218" s="19">
        <f t="shared" si="23"/>
        <v>203.8</v>
      </c>
      <c r="H218" s="191" t="e">
        <f t="shared" si="24"/>
        <v>#DIV/0!</v>
      </c>
      <c r="I218" s="20">
        <f>'Розшифровка 1 до Формування'!F15</f>
        <v>203.8</v>
      </c>
      <c r="J218" s="25"/>
    </row>
    <row r="219" spans="1:15" ht="27.75" customHeight="1">
      <c r="A219" s="36"/>
      <c r="B219" s="62" t="s">
        <v>86</v>
      </c>
      <c r="C219" s="178"/>
      <c r="D219" s="18"/>
      <c r="E219" s="18"/>
      <c r="F219" s="18"/>
      <c r="G219" s="15"/>
      <c r="H219" s="15"/>
      <c r="J219" s="25"/>
    </row>
    <row r="220" spans="1:15" ht="24.75" customHeight="1">
      <c r="A220" s="36" t="s">
        <v>241</v>
      </c>
      <c r="B220" s="158" t="s">
        <v>90</v>
      </c>
      <c r="C220" s="178">
        <v>1010</v>
      </c>
      <c r="D220" s="14">
        <f>D221+D225+D226</f>
        <v>218.89999999999998</v>
      </c>
      <c r="E220" s="14">
        <f>E221+E225+E226</f>
        <v>0</v>
      </c>
      <c r="F220" s="14">
        <f>F221+F225+F226</f>
        <v>56.3</v>
      </c>
      <c r="G220" s="19">
        <f t="shared" si="23"/>
        <v>56.3</v>
      </c>
      <c r="H220" s="191" t="e">
        <f t="shared" si="24"/>
        <v>#DIV/0!</v>
      </c>
    </row>
    <row r="221" spans="1:15" ht="27.75" customHeight="1">
      <c r="A221" s="66" t="s">
        <v>308</v>
      </c>
      <c r="B221" s="56" t="s">
        <v>106</v>
      </c>
      <c r="C221" s="39">
        <v>1011</v>
      </c>
      <c r="D221" s="40">
        <f>SUM(D222:D224)</f>
        <v>148.4</v>
      </c>
      <c r="E221" s="40">
        <f>SUM(E223:E224)</f>
        <v>0</v>
      </c>
      <c r="F221" s="40">
        <f>SUM(F223:F224)</f>
        <v>13.4</v>
      </c>
      <c r="G221" s="41">
        <f t="shared" si="23"/>
        <v>13.4</v>
      </c>
      <c r="H221" s="157" t="e">
        <f t="shared" si="24"/>
        <v>#DIV/0!</v>
      </c>
    </row>
    <row r="222" spans="1:15" ht="27.75" customHeight="1">
      <c r="A222" s="68"/>
      <c r="B222" s="21" t="s">
        <v>173</v>
      </c>
      <c r="C222" s="43"/>
      <c r="D222" s="18">
        <v>0.7</v>
      </c>
      <c r="E222" s="18"/>
      <c r="F222" s="18"/>
      <c r="G222" s="15">
        <f t="shared" si="23"/>
        <v>0</v>
      </c>
      <c r="H222" s="53" t="e">
        <f t="shared" si="24"/>
        <v>#DIV/0!</v>
      </c>
      <c r="J222" s="159"/>
      <c r="K222" s="2"/>
    </row>
    <row r="223" spans="1:15" ht="39.75" customHeight="1">
      <c r="A223" s="68"/>
      <c r="B223" s="17" t="s">
        <v>193</v>
      </c>
      <c r="C223" s="58"/>
      <c r="D223" s="18">
        <v>12.8</v>
      </c>
      <c r="E223" s="18"/>
      <c r="F223" s="18">
        <v>1.2</v>
      </c>
      <c r="G223" s="15">
        <f t="shared" si="23"/>
        <v>1.2</v>
      </c>
      <c r="H223" s="53" t="e">
        <f t="shared" si="24"/>
        <v>#DIV/0!</v>
      </c>
    </row>
    <row r="224" spans="1:15" ht="24.75" customHeight="1">
      <c r="A224" s="68"/>
      <c r="B224" s="17" t="s">
        <v>199</v>
      </c>
      <c r="C224" s="58"/>
      <c r="D224" s="18">
        <v>134.9</v>
      </c>
      <c r="E224" s="18"/>
      <c r="F224" s="18">
        <f>17.6-5.4</f>
        <v>12.200000000000001</v>
      </c>
      <c r="G224" s="15">
        <f t="shared" si="23"/>
        <v>12.200000000000001</v>
      </c>
      <c r="H224" s="53" t="e">
        <f t="shared" si="24"/>
        <v>#DIV/0!</v>
      </c>
    </row>
    <row r="225" spans="1:10" ht="24.75" customHeight="1">
      <c r="A225" s="66" t="s">
        <v>309</v>
      </c>
      <c r="B225" s="56" t="s">
        <v>4</v>
      </c>
      <c r="C225" s="64">
        <v>1014</v>
      </c>
      <c r="D225" s="40">
        <v>17.7</v>
      </c>
      <c r="E225" s="40"/>
      <c r="F225" s="40">
        <v>7.8</v>
      </c>
      <c r="G225" s="41">
        <f t="shared" si="23"/>
        <v>7.8</v>
      </c>
      <c r="H225" s="157" t="e">
        <f t="shared" si="24"/>
        <v>#DIV/0!</v>
      </c>
    </row>
    <row r="226" spans="1:10" ht="24.75" customHeight="1">
      <c r="A226" s="66" t="s">
        <v>310</v>
      </c>
      <c r="B226" s="67" t="s">
        <v>97</v>
      </c>
      <c r="C226" s="64">
        <v>1015</v>
      </c>
      <c r="D226" s="40">
        <f>SUM(D227:D233)</f>
        <v>52.8</v>
      </c>
      <c r="E226" s="40">
        <f>SUM(E227:E233)</f>
        <v>0</v>
      </c>
      <c r="F226" s="40">
        <f>SUM(F227:F233)</f>
        <v>35.1</v>
      </c>
      <c r="G226" s="41">
        <f t="shared" si="23"/>
        <v>35.1</v>
      </c>
      <c r="H226" s="157" t="e">
        <f t="shared" si="24"/>
        <v>#DIV/0!</v>
      </c>
      <c r="I226" s="20"/>
      <c r="J226" s="25"/>
    </row>
    <row r="227" spans="1:10" ht="24.75" customHeight="1">
      <c r="A227" s="36"/>
      <c r="B227" s="17" t="s">
        <v>151</v>
      </c>
      <c r="C227" s="58"/>
      <c r="D227" s="18">
        <v>5.3</v>
      </c>
      <c r="E227" s="18"/>
      <c r="F227" s="18">
        <f>16.6+5.8</f>
        <v>22.400000000000002</v>
      </c>
      <c r="G227" s="15">
        <f t="shared" si="23"/>
        <v>22.400000000000002</v>
      </c>
      <c r="H227" s="53" t="e">
        <f t="shared" si="24"/>
        <v>#DIV/0!</v>
      </c>
    </row>
    <row r="228" spans="1:10" ht="24.75" customHeight="1">
      <c r="A228" s="36"/>
      <c r="B228" s="17" t="s">
        <v>163</v>
      </c>
      <c r="C228" s="58"/>
      <c r="D228" s="18">
        <v>6.3</v>
      </c>
      <c r="E228" s="18"/>
      <c r="F228" s="18"/>
      <c r="G228" s="15">
        <f t="shared" si="23"/>
        <v>0</v>
      </c>
      <c r="H228" s="53" t="e">
        <f t="shared" si="24"/>
        <v>#DIV/0!</v>
      </c>
    </row>
    <row r="229" spans="1:10" ht="24.75" customHeight="1">
      <c r="A229" s="36"/>
      <c r="B229" s="17" t="s">
        <v>174</v>
      </c>
      <c r="C229" s="58"/>
      <c r="D229" s="18">
        <v>6.4</v>
      </c>
      <c r="E229" s="18"/>
      <c r="F229" s="18"/>
      <c r="G229" s="15">
        <f t="shared" si="23"/>
        <v>0</v>
      </c>
      <c r="H229" s="53" t="e">
        <f t="shared" si="24"/>
        <v>#DIV/0!</v>
      </c>
    </row>
    <row r="230" spans="1:10" ht="24.75" customHeight="1">
      <c r="A230" s="36"/>
      <c r="B230" s="17" t="s">
        <v>440</v>
      </c>
      <c r="C230" s="58"/>
      <c r="D230" s="18">
        <v>0.3</v>
      </c>
      <c r="E230" s="18"/>
      <c r="F230" s="18"/>
      <c r="G230" s="15">
        <f t="shared" si="23"/>
        <v>0</v>
      </c>
      <c r="H230" s="53" t="e">
        <f t="shared" si="24"/>
        <v>#DIV/0!</v>
      </c>
    </row>
    <row r="231" spans="1:10" ht="24.75" customHeight="1">
      <c r="A231" s="36"/>
      <c r="B231" s="17" t="s">
        <v>161</v>
      </c>
      <c r="C231" s="58"/>
      <c r="D231" s="18">
        <v>1.8</v>
      </c>
      <c r="E231" s="18"/>
      <c r="F231" s="18"/>
      <c r="G231" s="15">
        <f t="shared" si="23"/>
        <v>0</v>
      </c>
      <c r="H231" s="53" t="e">
        <f t="shared" si="24"/>
        <v>#DIV/0!</v>
      </c>
    </row>
    <row r="232" spans="1:10" ht="24.75" customHeight="1">
      <c r="A232" s="36"/>
      <c r="B232" s="17" t="s">
        <v>194</v>
      </c>
      <c r="C232" s="58"/>
      <c r="D232" s="18">
        <v>11.2</v>
      </c>
      <c r="E232" s="18"/>
      <c r="F232" s="18">
        <f>12.7</f>
        <v>12.7</v>
      </c>
      <c r="G232" s="15">
        <f t="shared" si="23"/>
        <v>12.7</v>
      </c>
      <c r="H232" s="53" t="e">
        <f t="shared" si="24"/>
        <v>#DIV/0!</v>
      </c>
    </row>
    <row r="233" spans="1:10" ht="24.75" customHeight="1">
      <c r="A233" s="36"/>
      <c r="B233" s="17" t="s">
        <v>206</v>
      </c>
      <c r="C233" s="58"/>
      <c r="D233" s="18">
        <v>21.5</v>
      </c>
      <c r="E233" s="18"/>
      <c r="F233" s="18"/>
      <c r="G233" s="15">
        <f t="shared" si="23"/>
        <v>0</v>
      </c>
      <c r="H233" s="53" t="e">
        <f t="shared" si="24"/>
        <v>#DIV/0!</v>
      </c>
    </row>
    <row r="234" spans="1:10" ht="24.75" customHeight="1">
      <c r="A234" s="36" t="s">
        <v>311</v>
      </c>
      <c r="B234" s="158" t="s">
        <v>92</v>
      </c>
      <c r="C234" s="178">
        <v>1020</v>
      </c>
      <c r="D234" s="14">
        <f>D235</f>
        <v>71.300000000000011</v>
      </c>
      <c r="E234" s="14">
        <f>E235</f>
        <v>0</v>
      </c>
      <c r="F234" s="14">
        <f>F235</f>
        <v>109</v>
      </c>
      <c r="G234" s="19">
        <f t="shared" si="23"/>
        <v>109</v>
      </c>
      <c r="H234" s="191" t="e">
        <f t="shared" si="24"/>
        <v>#DIV/0!</v>
      </c>
    </row>
    <row r="235" spans="1:10" ht="24.75" customHeight="1">
      <c r="A235" s="66" t="s">
        <v>312</v>
      </c>
      <c r="B235" s="56" t="s">
        <v>172</v>
      </c>
      <c r="C235" s="39">
        <v>1025</v>
      </c>
      <c r="D235" s="40">
        <f>SUM(D236:D242)</f>
        <v>71.300000000000011</v>
      </c>
      <c r="E235" s="40">
        <f>SUM(E236:E242)</f>
        <v>0</v>
      </c>
      <c r="F235" s="40">
        <f>SUM(F236:F242)</f>
        <v>109</v>
      </c>
      <c r="G235" s="41">
        <f t="shared" si="23"/>
        <v>109</v>
      </c>
      <c r="H235" s="157" t="e">
        <f t="shared" si="24"/>
        <v>#DIV/0!</v>
      </c>
    </row>
    <row r="236" spans="1:10" ht="30" customHeight="1">
      <c r="A236" s="36"/>
      <c r="B236" s="17" t="s">
        <v>165</v>
      </c>
      <c r="C236" s="43"/>
      <c r="D236" s="18">
        <v>26.9</v>
      </c>
      <c r="E236" s="18"/>
      <c r="F236" s="18">
        <f>19.4+1.9+18.5</f>
        <v>39.799999999999997</v>
      </c>
      <c r="G236" s="15">
        <f t="shared" si="23"/>
        <v>39.799999999999997</v>
      </c>
      <c r="H236" s="53" t="e">
        <f t="shared" si="24"/>
        <v>#DIV/0!</v>
      </c>
    </row>
    <row r="237" spans="1:10" ht="27.75" customHeight="1">
      <c r="A237" s="36"/>
      <c r="B237" s="17" t="s">
        <v>166</v>
      </c>
      <c r="C237" s="43"/>
      <c r="D237" s="18">
        <v>2</v>
      </c>
      <c r="E237" s="18"/>
      <c r="F237" s="18"/>
      <c r="G237" s="15">
        <f t="shared" si="23"/>
        <v>0</v>
      </c>
      <c r="H237" s="53" t="e">
        <f t="shared" si="24"/>
        <v>#DIV/0!</v>
      </c>
    </row>
    <row r="238" spans="1:10" ht="24" customHeight="1">
      <c r="A238" s="36"/>
      <c r="B238" s="17" t="s">
        <v>185</v>
      </c>
      <c r="C238" s="43"/>
      <c r="D238" s="18">
        <v>0.8</v>
      </c>
      <c r="E238" s="18"/>
      <c r="F238" s="18">
        <f>0.9</f>
        <v>0.9</v>
      </c>
      <c r="G238" s="15">
        <f t="shared" si="23"/>
        <v>0.9</v>
      </c>
      <c r="H238" s="53" t="e">
        <f t="shared" si="24"/>
        <v>#DIV/0!</v>
      </c>
    </row>
    <row r="239" spans="1:10" ht="24" customHeight="1">
      <c r="A239" s="36"/>
      <c r="B239" s="17" t="s">
        <v>247</v>
      </c>
      <c r="C239" s="43"/>
      <c r="D239" s="18">
        <v>9</v>
      </c>
      <c r="E239" s="18"/>
      <c r="F239" s="18"/>
      <c r="G239" s="15">
        <f t="shared" si="23"/>
        <v>0</v>
      </c>
      <c r="H239" s="53" t="e">
        <f t="shared" si="24"/>
        <v>#DIV/0!</v>
      </c>
    </row>
    <row r="240" spans="1:10" ht="24" customHeight="1">
      <c r="A240" s="36"/>
      <c r="B240" s="17" t="s">
        <v>163</v>
      </c>
      <c r="C240" s="43"/>
      <c r="D240" s="18">
        <v>3.6</v>
      </c>
      <c r="E240" s="18"/>
      <c r="F240" s="18"/>
      <c r="G240" s="15">
        <f t="shared" si="23"/>
        <v>0</v>
      </c>
      <c r="H240" s="53" t="e">
        <f t="shared" si="24"/>
        <v>#DIV/0!</v>
      </c>
    </row>
    <row r="241" spans="1:11" ht="24" customHeight="1">
      <c r="A241" s="36"/>
      <c r="B241" s="17" t="s">
        <v>243</v>
      </c>
      <c r="C241" s="58"/>
      <c r="D241" s="18">
        <v>14.3</v>
      </c>
      <c r="E241" s="18"/>
      <c r="F241" s="18">
        <f>11.4+9.1</f>
        <v>20.5</v>
      </c>
      <c r="G241" s="15">
        <f t="shared" si="23"/>
        <v>20.5</v>
      </c>
      <c r="H241" s="53" t="e">
        <f t="shared" si="24"/>
        <v>#DIV/0!</v>
      </c>
    </row>
    <row r="242" spans="1:11" ht="26.25" customHeight="1">
      <c r="A242" s="36"/>
      <c r="B242" s="17" t="s">
        <v>156</v>
      </c>
      <c r="C242" s="43"/>
      <c r="D242" s="18">
        <v>14.7</v>
      </c>
      <c r="E242" s="18"/>
      <c r="F242" s="18">
        <f>15.2+32.6</f>
        <v>47.8</v>
      </c>
      <c r="G242" s="15">
        <f t="shared" si="23"/>
        <v>47.8</v>
      </c>
      <c r="H242" s="53" t="e">
        <f t="shared" si="24"/>
        <v>#DIV/0!</v>
      </c>
    </row>
    <row r="243" spans="1:11" ht="26.25" customHeight="1">
      <c r="A243" s="36" t="s">
        <v>313</v>
      </c>
      <c r="B243" s="54" t="s">
        <v>239</v>
      </c>
      <c r="C243" s="58">
        <v>1030</v>
      </c>
      <c r="D243" s="14">
        <f>D244</f>
        <v>42.8</v>
      </c>
      <c r="E243" s="18"/>
      <c r="F243" s="14">
        <f>F244</f>
        <v>38.5</v>
      </c>
      <c r="G243" s="15">
        <f t="shared" si="23"/>
        <v>38.5</v>
      </c>
      <c r="H243" s="53" t="e">
        <f t="shared" si="24"/>
        <v>#DIV/0!</v>
      </c>
    </row>
    <row r="244" spans="1:11" ht="26.25" customHeight="1">
      <c r="A244" s="66" t="s">
        <v>314</v>
      </c>
      <c r="B244" s="38" t="s">
        <v>239</v>
      </c>
      <c r="C244" s="39">
        <v>1035</v>
      </c>
      <c r="D244" s="40">
        <f>SUM(D245:D245)</f>
        <v>42.8</v>
      </c>
      <c r="E244" s="18"/>
      <c r="F244" s="40">
        <f>F245</f>
        <v>38.5</v>
      </c>
      <c r="G244" s="15">
        <f t="shared" si="23"/>
        <v>38.5</v>
      </c>
      <c r="H244" s="53" t="e">
        <f t="shared" si="24"/>
        <v>#DIV/0!</v>
      </c>
    </row>
    <row r="245" spans="1:11" ht="22.5" customHeight="1">
      <c r="A245" s="36"/>
      <c r="B245" s="17" t="s">
        <v>197</v>
      </c>
      <c r="C245" s="43"/>
      <c r="D245" s="18">
        <v>42.8</v>
      </c>
      <c r="E245" s="18"/>
      <c r="F245" s="18">
        <f>38.5</f>
        <v>38.5</v>
      </c>
      <c r="G245" s="15">
        <f t="shared" si="23"/>
        <v>38.5</v>
      </c>
      <c r="H245" s="53" t="e">
        <f t="shared" si="24"/>
        <v>#DIV/0!</v>
      </c>
    </row>
    <row r="246" spans="1:11" ht="30" customHeight="1">
      <c r="A246" s="36" t="s">
        <v>315</v>
      </c>
      <c r="B246" s="202" t="s">
        <v>201</v>
      </c>
      <c r="C246" s="58"/>
      <c r="D246" s="14">
        <f>D248+D251</f>
        <v>3965.7</v>
      </c>
      <c r="E246" s="14">
        <f>E248+E251</f>
        <v>5500</v>
      </c>
      <c r="F246" s="14">
        <f>F248+F251</f>
        <v>5079.1000000000004</v>
      </c>
      <c r="G246" s="19">
        <f t="shared" si="23"/>
        <v>-420.89999999999964</v>
      </c>
      <c r="H246" s="19">
        <f t="shared" si="24"/>
        <v>92.347272727272738</v>
      </c>
      <c r="J246" s="25"/>
    </row>
    <row r="247" spans="1:11" ht="27.75" customHeight="1">
      <c r="A247" s="36"/>
      <c r="B247" s="35" t="s">
        <v>86</v>
      </c>
      <c r="C247" s="58"/>
      <c r="D247" s="18"/>
      <c r="E247" s="18"/>
      <c r="F247" s="18"/>
      <c r="G247" s="15"/>
      <c r="H247" s="15"/>
    </row>
    <row r="248" spans="1:11" ht="27.75" customHeight="1">
      <c r="A248" s="36" t="s">
        <v>316</v>
      </c>
      <c r="B248" s="202" t="s">
        <v>90</v>
      </c>
      <c r="C248" s="58">
        <v>1010</v>
      </c>
      <c r="D248" s="14">
        <f t="shared" ref="D248:F249" si="25">D249</f>
        <v>3170.5</v>
      </c>
      <c r="E248" s="14">
        <f t="shared" si="25"/>
        <v>4548</v>
      </c>
      <c r="F248" s="14">
        <f t="shared" si="25"/>
        <v>3132.4000000000005</v>
      </c>
      <c r="G248" s="19">
        <f t="shared" si="23"/>
        <v>-1415.5999999999995</v>
      </c>
      <c r="H248" s="19">
        <f t="shared" si="24"/>
        <v>68.874230430958676</v>
      </c>
      <c r="I248" s="108"/>
      <c r="J248" s="25"/>
      <c r="K248" s="25"/>
    </row>
    <row r="249" spans="1:11" ht="27.75" customHeight="1">
      <c r="A249" s="66" t="s">
        <v>317</v>
      </c>
      <c r="B249" s="67" t="s">
        <v>4</v>
      </c>
      <c r="C249" s="39">
        <v>1014</v>
      </c>
      <c r="D249" s="40">
        <f t="shared" si="25"/>
        <v>3170.5</v>
      </c>
      <c r="E249" s="40">
        <f t="shared" si="25"/>
        <v>4548</v>
      </c>
      <c r="F249" s="40">
        <f t="shared" si="25"/>
        <v>3132.4000000000005</v>
      </c>
      <c r="G249" s="41">
        <f t="shared" si="23"/>
        <v>-1415.5999999999995</v>
      </c>
      <c r="H249" s="41">
        <f t="shared" si="24"/>
        <v>68.874230430958676</v>
      </c>
    </row>
    <row r="250" spans="1:11" ht="24.75" customHeight="1">
      <c r="A250" s="36"/>
      <c r="B250" s="74" t="s">
        <v>202</v>
      </c>
      <c r="C250" s="58"/>
      <c r="D250" s="18">
        <v>3170.5</v>
      </c>
      <c r="E250" s="18">
        <v>4548</v>
      </c>
      <c r="F250" s="18">
        <f>5079.1-1946.7</f>
        <v>3132.4000000000005</v>
      </c>
      <c r="G250" s="15">
        <f t="shared" si="23"/>
        <v>-1415.5999999999995</v>
      </c>
      <c r="H250" s="15">
        <f t="shared" si="24"/>
        <v>68.874230430958676</v>
      </c>
      <c r="I250" s="20"/>
    </row>
    <row r="251" spans="1:11" ht="27.75" customHeight="1">
      <c r="A251" s="36" t="s">
        <v>318</v>
      </c>
      <c r="B251" s="202" t="s">
        <v>92</v>
      </c>
      <c r="C251" s="58">
        <v>1020</v>
      </c>
      <c r="D251" s="14">
        <f t="shared" ref="D251:F252" si="26">D252</f>
        <v>795.2</v>
      </c>
      <c r="E251" s="14">
        <f t="shared" si="26"/>
        <v>952</v>
      </c>
      <c r="F251" s="14">
        <f t="shared" si="26"/>
        <v>1946.7</v>
      </c>
      <c r="G251" s="19">
        <f t="shared" si="23"/>
        <v>994.7</v>
      </c>
      <c r="H251" s="19">
        <f t="shared" si="24"/>
        <v>204.48529411764707</v>
      </c>
    </row>
    <row r="252" spans="1:11" ht="27.75" customHeight="1">
      <c r="A252" s="66" t="s">
        <v>319</v>
      </c>
      <c r="B252" s="67" t="s">
        <v>4</v>
      </c>
      <c r="C252" s="39">
        <v>1024</v>
      </c>
      <c r="D252" s="40">
        <f t="shared" si="26"/>
        <v>795.2</v>
      </c>
      <c r="E252" s="40">
        <f t="shared" si="26"/>
        <v>952</v>
      </c>
      <c r="F252" s="40">
        <f t="shared" si="26"/>
        <v>1946.7</v>
      </c>
      <c r="G252" s="41">
        <f t="shared" si="23"/>
        <v>994.7</v>
      </c>
      <c r="H252" s="41">
        <f t="shared" si="24"/>
        <v>204.48529411764707</v>
      </c>
    </row>
    <row r="253" spans="1:11" ht="27.75" customHeight="1">
      <c r="A253" s="23"/>
      <c r="B253" s="74" t="s">
        <v>228</v>
      </c>
      <c r="C253" s="4"/>
      <c r="D253" s="75">
        <v>795.2</v>
      </c>
      <c r="E253" s="193">
        <v>952</v>
      </c>
      <c r="F253" s="75">
        <v>1946.7</v>
      </c>
      <c r="G253" s="23">
        <f t="shared" si="23"/>
        <v>994.7</v>
      </c>
      <c r="H253" s="78">
        <f t="shared" si="24"/>
        <v>204.48529411764707</v>
      </c>
    </row>
    <row r="254" spans="1:11" ht="63.75" customHeight="1">
      <c r="B254" s="76" t="s">
        <v>211</v>
      </c>
      <c r="C254" s="236"/>
      <c r="D254" s="236"/>
      <c r="E254" s="194"/>
      <c r="F254" s="234" t="s">
        <v>186</v>
      </c>
      <c r="G254" s="234"/>
      <c r="H254" s="234"/>
    </row>
    <row r="255" spans="1:11" ht="34.5" customHeight="1">
      <c r="B255" s="207"/>
      <c r="C255" s="237" t="s">
        <v>511</v>
      </c>
      <c r="D255" s="237"/>
      <c r="E255" s="192"/>
      <c r="F255" s="235" t="s">
        <v>17</v>
      </c>
      <c r="G255" s="235"/>
      <c r="H255" s="235"/>
    </row>
    <row r="256" spans="1:11" ht="29.25" customHeight="1">
      <c r="B256" s="7"/>
      <c r="D256" s="104"/>
      <c r="E256" s="6"/>
      <c r="F256" s="6"/>
    </row>
    <row r="257" spans="1:15" ht="35.25" customHeight="1">
      <c r="B257" s="7"/>
      <c r="D257" s="104"/>
      <c r="E257" s="6"/>
      <c r="F257" s="6"/>
    </row>
    <row r="258" spans="1:15" ht="35.25" customHeight="1">
      <c r="B258" s="7"/>
      <c r="D258" s="104"/>
      <c r="E258" s="6"/>
      <c r="F258" s="6"/>
    </row>
    <row r="259" spans="1:15" s="5" customFormat="1" ht="39" customHeight="1">
      <c r="A259" s="2"/>
      <c r="B259" s="7"/>
      <c r="C259" s="203"/>
      <c r="D259" s="104"/>
      <c r="E259" s="6"/>
      <c r="F259" s="6"/>
      <c r="G259" s="2"/>
      <c r="H259" s="2"/>
      <c r="J259" s="85"/>
      <c r="O259" s="77"/>
    </row>
    <row r="260" spans="1:15" s="5" customFormat="1" ht="32.25" customHeight="1">
      <c r="A260" s="2"/>
      <c r="B260" s="7"/>
      <c r="C260" s="203"/>
      <c r="D260" s="104"/>
      <c r="E260" s="6"/>
      <c r="F260" s="6"/>
      <c r="G260" s="2"/>
      <c r="H260" s="2"/>
      <c r="J260" s="85"/>
      <c r="O260" s="77"/>
    </row>
    <row r="261" spans="1:15" s="5" customFormat="1" ht="31.5" customHeight="1">
      <c r="A261" s="2"/>
      <c r="B261" s="7"/>
      <c r="C261" s="203"/>
      <c r="D261" s="104"/>
      <c r="E261" s="6"/>
      <c r="F261" s="6"/>
      <c r="G261" s="2"/>
      <c r="H261" s="2"/>
      <c r="J261" s="85"/>
      <c r="O261" s="77"/>
    </row>
    <row r="262" spans="1:15" s="5" customFormat="1" ht="31.5" customHeight="1">
      <c r="A262" s="2"/>
      <c r="B262" s="7"/>
      <c r="C262" s="203"/>
      <c r="D262" s="104"/>
      <c r="E262" s="6"/>
      <c r="F262" s="6"/>
      <c r="G262" s="2"/>
      <c r="H262" s="2"/>
      <c r="J262" s="85"/>
      <c r="O262" s="77"/>
    </row>
    <row r="263" spans="1:15" s="5" customFormat="1" ht="29.25" customHeight="1">
      <c r="A263" s="2"/>
      <c r="B263" s="7"/>
      <c r="C263" s="203"/>
      <c r="D263" s="104"/>
      <c r="E263" s="6"/>
      <c r="F263" s="6"/>
      <c r="G263" s="2"/>
      <c r="H263" s="2"/>
      <c r="J263" s="85"/>
      <c r="O263" s="77"/>
    </row>
    <row r="264" spans="1:15" s="5" customFormat="1" ht="35.25" customHeight="1">
      <c r="A264" s="2"/>
      <c r="B264" s="7"/>
      <c r="C264" s="203"/>
      <c r="D264" s="104"/>
      <c r="E264" s="6"/>
      <c r="F264" s="6"/>
      <c r="G264" s="2"/>
      <c r="H264" s="2"/>
      <c r="J264" s="85"/>
      <c r="O264" s="77"/>
    </row>
    <row r="265" spans="1:15" s="5" customFormat="1" ht="41.25" customHeight="1">
      <c r="A265" s="2"/>
      <c r="B265" s="7"/>
      <c r="C265" s="203"/>
      <c r="D265" s="104"/>
      <c r="E265" s="6"/>
      <c r="F265" s="6"/>
      <c r="G265" s="2"/>
      <c r="H265" s="2"/>
      <c r="J265" s="85"/>
      <c r="O265" s="77"/>
    </row>
    <row r="266" spans="1:15" s="5" customFormat="1" ht="35.25" customHeight="1">
      <c r="A266" s="2"/>
      <c r="B266" s="7"/>
      <c r="C266" s="203"/>
      <c r="D266" s="104"/>
      <c r="E266" s="6"/>
      <c r="F266" s="6"/>
      <c r="G266" s="2"/>
      <c r="H266" s="2"/>
      <c r="J266" s="85"/>
      <c r="O266" s="77"/>
    </row>
    <row r="267" spans="1:15" s="5" customFormat="1" ht="41.25" customHeight="1">
      <c r="A267" s="2"/>
      <c r="B267" s="7"/>
      <c r="C267" s="203"/>
      <c r="D267" s="104"/>
      <c r="E267" s="6"/>
      <c r="F267" s="6"/>
      <c r="G267" s="2"/>
      <c r="H267" s="2"/>
      <c r="J267" s="85"/>
      <c r="O267" s="77"/>
    </row>
    <row r="268" spans="1:15" s="5" customFormat="1" ht="37.5" customHeight="1">
      <c r="A268" s="2"/>
      <c r="B268" s="7"/>
      <c r="C268" s="203"/>
      <c r="D268" s="104"/>
      <c r="E268" s="6"/>
      <c r="F268" s="6"/>
      <c r="G268" s="2"/>
      <c r="H268" s="2"/>
      <c r="J268" s="85"/>
      <c r="O268" s="77"/>
    </row>
    <row r="269" spans="1:15" s="5" customFormat="1" ht="37.5" customHeight="1">
      <c r="A269" s="2"/>
      <c r="B269" s="7"/>
      <c r="C269" s="203"/>
      <c r="D269" s="104"/>
      <c r="E269" s="6"/>
      <c r="F269" s="6"/>
      <c r="G269" s="2"/>
      <c r="H269" s="2"/>
      <c r="J269" s="85"/>
      <c r="O269" s="77"/>
    </row>
    <row r="270" spans="1:15" s="5" customFormat="1" ht="39" customHeight="1">
      <c r="A270" s="2"/>
      <c r="B270" s="7"/>
      <c r="C270" s="203"/>
      <c r="D270" s="104"/>
      <c r="E270" s="6"/>
      <c r="F270" s="6"/>
      <c r="G270" s="2"/>
      <c r="H270" s="2"/>
      <c r="J270" s="85"/>
      <c r="O270" s="77"/>
    </row>
    <row r="271" spans="1:15" s="5" customFormat="1" ht="35.25" customHeight="1">
      <c r="A271" s="2"/>
      <c r="B271" s="7"/>
      <c r="C271" s="203"/>
      <c r="D271" s="104"/>
      <c r="E271" s="6"/>
      <c r="F271" s="6"/>
      <c r="G271" s="2"/>
      <c r="H271" s="2"/>
      <c r="J271" s="85"/>
      <c r="O271" s="77"/>
    </row>
    <row r="272" spans="1:15" s="5" customFormat="1" ht="37.5" customHeight="1">
      <c r="A272" s="2"/>
      <c r="B272" s="7"/>
      <c r="C272" s="203"/>
      <c r="D272" s="104"/>
      <c r="E272" s="6"/>
      <c r="F272" s="6"/>
      <c r="G272" s="2"/>
      <c r="H272" s="2"/>
      <c r="J272" s="85"/>
      <c r="O272" s="77"/>
    </row>
    <row r="273" spans="1:15" s="5" customFormat="1" ht="31.5" customHeight="1">
      <c r="A273" s="2"/>
      <c r="B273" s="7"/>
      <c r="C273" s="203"/>
      <c r="D273" s="104"/>
      <c r="E273" s="6"/>
      <c r="F273" s="6"/>
      <c r="G273" s="2"/>
      <c r="H273" s="2"/>
      <c r="J273" s="85"/>
      <c r="O273" s="77"/>
    </row>
    <row r="274" spans="1:15" s="5" customFormat="1" ht="31.5" customHeight="1">
      <c r="A274" s="2"/>
      <c r="B274" s="7"/>
      <c r="C274" s="203"/>
      <c r="D274" s="104"/>
      <c r="E274" s="6"/>
      <c r="F274" s="6"/>
      <c r="G274" s="2"/>
      <c r="H274" s="2"/>
      <c r="J274" s="85"/>
      <c r="O274" s="77"/>
    </row>
    <row r="275" spans="1:15">
      <c r="B275" s="7"/>
      <c r="D275" s="104"/>
      <c r="E275" s="6"/>
      <c r="F275" s="6"/>
    </row>
    <row r="276" spans="1:15" ht="24.75" customHeight="1">
      <c r="B276" s="7"/>
      <c r="D276" s="104"/>
      <c r="E276" s="6"/>
      <c r="F276" s="6"/>
    </row>
    <row r="277" spans="1:15">
      <c r="B277" s="7"/>
      <c r="D277" s="104"/>
      <c r="E277" s="6"/>
      <c r="F277" s="6"/>
    </row>
    <row r="278" spans="1:15">
      <c r="B278" s="7"/>
      <c r="D278" s="104"/>
      <c r="E278" s="6"/>
      <c r="F278" s="6"/>
    </row>
    <row r="279" spans="1:15">
      <c r="B279" s="7"/>
      <c r="D279" s="104"/>
      <c r="E279" s="6"/>
      <c r="F279" s="6"/>
    </row>
    <row r="280" spans="1:15">
      <c r="B280" s="7"/>
      <c r="D280" s="104"/>
      <c r="E280" s="6"/>
      <c r="F280" s="6"/>
    </row>
    <row r="281" spans="1:15">
      <c r="B281" s="7"/>
      <c r="D281" s="104"/>
      <c r="E281" s="6"/>
      <c r="F281" s="6"/>
    </row>
    <row r="282" spans="1:15">
      <c r="B282" s="7"/>
      <c r="D282" s="104"/>
      <c r="E282" s="6"/>
      <c r="F282" s="6"/>
    </row>
    <row r="283" spans="1:15">
      <c r="B283" s="7"/>
      <c r="D283" s="104"/>
      <c r="E283" s="6"/>
      <c r="F283" s="6"/>
    </row>
    <row r="284" spans="1:15">
      <c r="B284" s="7"/>
      <c r="D284" s="104"/>
      <c r="E284" s="6"/>
      <c r="F284" s="6"/>
    </row>
    <row r="285" spans="1:15">
      <c r="B285" s="7"/>
      <c r="D285" s="104"/>
      <c r="E285" s="6"/>
      <c r="F285" s="6"/>
    </row>
    <row r="286" spans="1:15">
      <c r="B286" s="7"/>
      <c r="D286" s="104"/>
      <c r="E286" s="6"/>
      <c r="F286" s="6"/>
    </row>
    <row r="287" spans="1:15">
      <c r="B287" s="7"/>
      <c r="D287" s="104"/>
      <c r="E287" s="6"/>
      <c r="F287" s="6"/>
    </row>
    <row r="288" spans="1:15">
      <c r="B288" s="7"/>
      <c r="D288" s="104"/>
      <c r="E288" s="6"/>
      <c r="F288" s="6"/>
    </row>
    <row r="289" spans="2:6">
      <c r="B289" s="7"/>
      <c r="D289" s="104"/>
      <c r="E289" s="6"/>
      <c r="F289" s="6"/>
    </row>
    <row r="290" spans="2:6">
      <c r="B290" s="7"/>
      <c r="D290" s="104"/>
      <c r="E290" s="6"/>
      <c r="F290" s="6"/>
    </row>
    <row r="291" spans="2:6">
      <c r="B291" s="7"/>
      <c r="D291" s="104"/>
      <c r="E291" s="6"/>
      <c r="F291" s="6"/>
    </row>
    <row r="292" spans="2:6">
      <c r="B292" s="7"/>
      <c r="D292" s="104"/>
      <c r="E292" s="6"/>
      <c r="F292" s="6"/>
    </row>
    <row r="293" spans="2:6">
      <c r="B293" s="7"/>
      <c r="D293" s="104"/>
      <c r="E293" s="6"/>
      <c r="F293" s="6"/>
    </row>
    <row r="294" spans="2:6">
      <c r="B294" s="7"/>
      <c r="D294" s="104"/>
      <c r="E294" s="6"/>
      <c r="F294" s="6"/>
    </row>
    <row r="295" spans="2:6">
      <c r="B295" s="7"/>
      <c r="D295" s="104"/>
      <c r="E295" s="6"/>
      <c r="F295" s="6"/>
    </row>
    <row r="296" spans="2:6">
      <c r="B296" s="7"/>
      <c r="D296" s="104"/>
      <c r="E296" s="6"/>
      <c r="F296" s="6"/>
    </row>
    <row r="297" spans="2:6">
      <c r="B297" s="7"/>
      <c r="D297" s="104"/>
      <c r="E297" s="6"/>
      <c r="F297" s="6"/>
    </row>
    <row r="298" spans="2:6">
      <c r="B298" s="7"/>
      <c r="D298" s="104"/>
      <c r="E298" s="6"/>
      <c r="F298" s="6"/>
    </row>
    <row r="299" spans="2:6">
      <c r="B299" s="7"/>
      <c r="D299" s="104"/>
      <c r="E299" s="6"/>
      <c r="F299" s="6"/>
    </row>
    <row r="300" spans="2:6">
      <c r="B300" s="7"/>
      <c r="D300" s="104"/>
      <c r="E300" s="6"/>
      <c r="F300" s="6"/>
    </row>
    <row r="301" spans="2:6">
      <c r="B301" s="7"/>
      <c r="D301" s="104"/>
      <c r="E301" s="6"/>
      <c r="F301" s="6"/>
    </row>
    <row r="302" spans="2:6">
      <c r="B302" s="7"/>
      <c r="D302" s="104"/>
      <c r="E302" s="6"/>
      <c r="F302" s="6"/>
    </row>
    <row r="303" spans="2:6">
      <c r="B303" s="7"/>
      <c r="D303" s="104"/>
      <c r="E303" s="6"/>
      <c r="F303" s="6"/>
    </row>
    <row r="304" spans="2:6">
      <c r="B304" s="7"/>
      <c r="D304" s="104"/>
      <c r="E304" s="6"/>
      <c r="F304" s="6"/>
    </row>
    <row r="305" spans="2:6">
      <c r="B305" s="7"/>
      <c r="D305" s="104"/>
      <c r="E305" s="6"/>
      <c r="F305" s="6"/>
    </row>
    <row r="306" spans="2:6">
      <c r="B306" s="7"/>
      <c r="D306" s="104"/>
      <c r="E306" s="6"/>
      <c r="F306" s="6"/>
    </row>
    <row r="307" spans="2:6">
      <c r="B307" s="7"/>
      <c r="D307" s="104"/>
      <c r="E307" s="6"/>
      <c r="F307" s="6"/>
    </row>
    <row r="308" spans="2:6">
      <c r="B308" s="7"/>
      <c r="D308" s="104"/>
      <c r="E308" s="6"/>
      <c r="F308" s="6"/>
    </row>
    <row r="309" spans="2:6">
      <c r="B309" s="7"/>
      <c r="D309" s="104"/>
      <c r="E309" s="6"/>
      <c r="F309" s="6"/>
    </row>
    <row r="310" spans="2:6">
      <c r="B310" s="7"/>
    </row>
    <row r="311" spans="2:6">
      <c r="B311" s="8"/>
    </row>
    <row r="312" spans="2:6">
      <c r="B312" s="8"/>
    </row>
    <row r="313" spans="2:6">
      <c r="B313" s="8"/>
    </row>
    <row r="314" spans="2:6">
      <c r="B314" s="8"/>
    </row>
    <row r="315" spans="2:6">
      <c r="B315" s="8"/>
    </row>
    <row r="316" spans="2:6">
      <c r="B316" s="8"/>
    </row>
    <row r="317" spans="2:6">
      <c r="B317" s="8"/>
    </row>
    <row r="318" spans="2:6">
      <c r="B318" s="8"/>
    </row>
    <row r="319" spans="2:6">
      <c r="B319" s="8"/>
    </row>
    <row r="320" spans="2:6">
      <c r="B320" s="8"/>
    </row>
    <row r="321" spans="2:2">
      <c r="B321" s="8"/>
    </row>
    <row r="322" spans="2:2">
      <c r="B322" s="8"/>
    </row>
    <row r="323" spans="2:2">
      <c r="B323" s="8"/>
    </row>
    <row r="324" spans="2:2">
      <c r="B324" s="8"/>
    </row>
    <row r="325" spans="2:2">
      <c r="B325" s="8"/>
    </row>
    <row r="326" spans="2:2">
      <c r="B326" s="8"/>
    </row>
    <row r="327" spans="2:2">
      <c r="B327" s="8"/>
    </row>
    <row r="328" spans="2:2">
      <c r="B328" s="8"/>
    </row>
    <row r="329" spans="2:2">
      <c r="B329" s="8"/>
    </row>
    <row r="330" spans="2:2">
      <c r="B330" s="8"/>
    </row>
    <row r="331" spans="2:2">
      <c r="B331" s="8"/>
    </row>
    <row r="332" spans="2:2">
      <c r="B332" s="8"/>
    </row>
    <row r="333" spans="2:2">
      <c r="B333" s="8"/>
    </row>
    <row r="334" spans="2:2">
      <c r="B334" s="8"/>
    </row>
    <row r="335" spans="2:2">
      <c r="B335" s="8"/>
    </row>
    <row r="336" spans="2:2">
      <c r="B336" s="8"/>
    </row>
    <row r="337" spans="2:2">
      <c r="B337" s="8"/>
    </row>
    <row r="338" spans="2:2">
      <c r="B338" s="8"/>
    </row>
    <row r="339" spans="2:2">
      <c r="B339" s="8"/>
    </row>
    <row r="340" spans="2:2">
      <c r="B340" s="8"/>
    </row>
    <row r="341" spans="2:2">
      <c r="B341" s="8"/>
    </row>
    <row r="342" spans="2:2">
      <c r="B342" s="8"/>
    </row>
    <row r="343" spans="2:2">
      <c r="B343" s="8"/>
    </row>
    <row r="344" spans="2:2">
      <c r="B344" s="8"/>
    </row>
    <row r="345" spans="2:2">
      <c r="B345" s="8"/>
    </row>
    <row r="346" spans="2:2">
      <c r="B346" s="8"/>
    </row>
    <row r="347" spans="2:2">
      <c r="B347" s="8"/>
    </row>
    <row r="348" spans="2:2">
      <c r="B348" s="8"/>
    </row>
    <row r="349" spans="2:2">
      <c r="B349" s="8"/>
    </row>
    <row r="350" spans="2:2">
      <c r="B350" s="8"/>
    </row>
    <row r="351" spans="2:2">
      <c r="B351" s="8"/>
    </row>
    <row r="352" spans="2:2">
      <c r="B352" s="8"/>
    </row>
    <row r="353" spans="2:2">
      <c r="B353" s="8"/>
    </row>
    <row r="354" spans="2:2">
      <c r="B354" s="8"/>
    </row>
    <row r="355" spans="2:2">
      <c r="B355" s="8"/>
    </row>
    <row r="356" spans="2:2">
      <c r="B356" s="8"/>
    </row>
    <row r="357" spans="2:2">
      <c r="B357" s="8"/>
    </row>
    <row r="358" spans="2:2">
      <c r="B358" s="8"/>
    </row>
    <row r="359" spans="2:2">
      <c r="B359" s="8"/>
    </row>
    <row r="360" spans="2:2">
      <c r="B360" s="8"/>
    </row>
    <row r="361" spans="2:2">
      <c r="B361" s="8"/>
    </row>
    <row r="362" spans="2:2">
      <c r="B362" s="8"/>
    </row>
    <row r="363" spans="2:2">
      <c r="B363" s="8"/>
    </row>
    <row r="364" spans="2:2">
      <c r="B364" s="8"/>
    </row>
    <row r="365" spans="2:2">
      <c r="B365" s="8"/>
    </row>
    <row r="366" spans="2:2">
      <c r="B366" s="8"/>
    </row>
    <row r="367" spans="2:2">
      <c r="B367" s="8"/>
    </row>
    <row r="368" spans="2:2">
      <c r="B368" s="8"/>
    </row>
    <row r="369" spans="2:2">
      <c r="B369" s="8"/>
    </row>
    <row r="370" spans="2:2">
      <c r="B370" s="8"/>
    </row>
    <row r="371" spans="2:2">
      <c r="B371" s="8"/>
    </row>
    <row r="372" spans="2:2">
      <c r="B372" s="8"/>
    </row>
    <row r="373" spans="2:2">
      <c r="B373" s="8"/>
    </row>
    <row r="374" spans="2:2">
      <c r="B374" s="8"/>
    </row>
    <row r="375" spans="2:2">
      <c r="B375" s="8"/>
    </row>
    <row r="376" spans="2:2">
      <c r="B376" s="8"/>
    </row>
    <row r="377" spans="2:2">
      <c r="B377" s="8"/>
    </row>
    <row r="378" spans="2:2">
      <c r="B378" s="8"/>
    </row>
    <row r="379" spans="2:2">
      <c r="B379" s="8"/>
    </row>
    <row r="380" spans="2:2">
      <c r="B380" s="8"/>
    </row>
    <row r="381" spans="2:2">
      <c r="B381" s="8"/>
    </row>
    <row r="382" spans="2:2">
      <c r="B382" s="8"/>
    </row>
    <row r="383" spans="2:2">
      <c r="B383" s="8"/>
    </row>
    <row r="384" spans="2:2">
      <c r="B384" s="8"/>
    </row>
    <row r="385" spans="2:2">
      <c r="B385" s="8"/>
    </row>
    <row r="386" spans="2:2">
      <c r="B386" s="8"/>
    </row>
    <row r="387" spans="2:2">
      <c r="B387" s="8"/>
    </row>
    <row r="388" spans="2:2">
      <c r="B388" s="8"/>
    </row>
    <row r="389" spans="2:2">
      <c r="B389" s="8"/>
    </row>
    <row r="390" spans="2:2">
      <c r="B390" s="8"/>
    </row>
    <row r="391" spans="2:2">
      <c r="B391" s="8"/>
    </row>
    <row r="392" spans="2:2">
      <c r="B392" s="8"/>
    </row>
    <row r="393" spans="2:2">
      <c r="B393" s="8"/>
    </row>
    <row r="394" spans="2:2">
      <c r="B394" s="8"/>
    </row>
    <row r="395" spans="2:2">
      <c r="B395" s="8"/>
    </row>
    <row r="396" spans="2:2">
      <c r="B396" s="8"/>
    </row>
    <row r="397" spans="2:2">
      <c r="B397" s="8"/>
    </row>
    <row r="398" spans="2:2">
      <c r="B398" s="8"/>
    </row>
    <row r="399" spans="2:2">
      <c r="B399" s="8"/>
    </row>
    <row r="400" spans="2:2">
      <c r="B400" s="8"/>
    </row>
    <row r="401" spans="2:2">
      <c r="B401" s="8"/>
    </row>
    <row r="402" spans="2:2">
      <c r="B402" s="8"/>
    </row>
    <row r="403" spans="2:2">
      <c r="B403" s="8"/>
    </row>
    <row r="404" spans="2:2">
      <c r="B404" s="8"/>
    </row>
    <row r="405" spans="2:2">
      <c r="B405" s="8"/>
    </row>
    <row r="406" spans="2:2">
      <c r="B406" s="8"/>
    </row>
    <row r="407" spans="2:2">
      <c r="B407" s="8"/>
    </row>
    <row r="408" spans="2:2">
      <c r="B408" s="8"/>
    </row>
    <row r="409" spans="2:2">
      <c r="B409" s="8"/>
    </row>
    <row r="410" spans="2:2">
      <c r="B410" s="8"/>
    </row>
    <row r="411" spans="2:2">
      <c r="B411" s="8"/>
    </row>
    <row r="412" spans="2:2">
      <c r="B412" s="8"/>
    </row>
    <row r="413" spans="2:2">
      <c r="B413" s="8"/>
    </row>
    <row r="414" spans="2:2">
      <c r="B414" s="8"/>
    </row>
    <row r="415" spans="2:2">
      <c r="B415" s="8"/>
    </row>
    <row r="416" spans="2:2">
      <c r="B416" s="8"/>
    </row>
    <row r="417" spans="2:2">
      <c r="B417" s="8"/>
    </row>
    <row r="418" spans="2:2">
      <c r="B418" s="8"/>
    </row>
    <row r="419" spans="2:2">
      <c r="B419" s="8"/>
    </row>
    <row r="420" spans="2:2">
      <c r="B420" s="8"/>
    </row>
    <row r="421" spans="2:2">
      <c r="B421" s="8"/>
    </row>
    <row r="422" spans="2:2">
      <c r="B422" s="8"/>
    </row>
    <row r="423" spans="2:2">
      <c r="B423" s="8"/>
    </row>
    <row r="424" spans="2:2">
      <c r="B424" s="8"/>
    </row>
    <row r="425" spans="2:2">
      <c r="B425" s="8"/>
    </row>
    <row r="426" spans="2:2">
      <c r="B426" s="8"/>
    </row>
    <row r="427" spans="2:2">
      <c r="B427" s="8"/>
    </row>
    <row r="428" spans="2:2">
      <c r="B428" s="8"/>
    </row>
    <row r="429" spans="2:2">
      <c r="B429" s="8"/>
    </row>
    <row r="430" spans="2:2">
      <c r="B430" s="8"/>
    </row>
    <row r="431" spans="2:2">
      <c r="B431" s="8"/>
    </row>
    <row r="432" spans="2:2">
      <c r="B432" s="8"/>
    </row>
    <row r="433" spans="2:2">
      <c r="B433" s="8"/>
    </row>
    <row r="434" spans="2:2">
      <c r="B434" s="8"/>
    </row>
    <row r="435" spans="2:2">
      <c r="B435" s="8"/>
    </row>
    <row r="436" spans="2:2">
      <c r="B436" s="8"/>
    </row>
    <row r="437" spans="2:2">
      <c r="B437" s="8"/>
    </row>
    <row r="438" spans="2:2">
      <c r="B438" s="8"/>
    </row>
    <row r="439" spans="2:2">
      <c r="B439" s="8"/>
    </row>
    <row r="440" spans="2:2">
      <c r="B440" s="8"/>
    </row>
    <row r="441" spans="2:2">
      <c r="B441" s="8"/>
    </row>
    <row r="442" spans="2:2">
      <c r="B442" s="8"/>
    </row>
    <row r="443" spans="2:2">
      <c r="B443" s="8"/>
    </row>
    <row r="444" spans="2:2">
      <c r="B444" s="8"/>
    </row>
    <row r="445" spans="2:2">
      <c r="B445" s="8"/>
    </row>
    <row r="446" spans="2:2">
      <c r="B446" s="8"/>
    </row>
    <row r="447" spans="2:2">
      <c r="B447" s="8"/>
    </row>
    <row r="448" spans="2:2">
      <c r="B448" s="8"/>
    </row>
    <row r="449" spans="2:2">
      <c r="B449" s="8"/>
    </row>
    <row r="450" spans="2:2">
      <c r="B450" s="8"/>
    </row>
    <row r="451" spans="2:2">
      <c r="B451" s="8"/>
    </row>
    <row r="452" spans="2:2">
      <c r="B452" s="8"/>
    </row>
    <row r="453" spans="2:2">
      <c r="B453" s="8"/>
    </row>
    <row r="454" spans="2:2">
      <c r="B454" s="8"/>
    </row>
    <row r="455" spans="2:2">
      <c r="B455" s="8"/>
    </row>
    <row r="456" spans="2:2">
      <c r="B456" s="8"/>
    </row>
    <row r="457" spans="2:2">
      <c r="B457" s="8"/>
    </row>
    <row r="458" spans="2:2">
      <c r="B458" s="8"/>
    </row>
    <row r="459" spans="2:2">
      <c r="B459" s="8"/>
    </row>
    <row r="460" spans="2:2">
      <c r="B460" s="8"/>
    </row>
    <row r="461" spans="2:2">
      <c r="B461" s="8"/>
    </row>
    <row r="462" spans="2:2">
      <c r="B462" s="8"/>
    </row>
    <row r="463" spans="2:2">
      <c r="B463" s="8"/>
    </row>
    <row r="464" spans="2:2">
      <c r="B464" s="8"/>
    </row>
    <row r="465" spans="2:2">
      <c r="B465" s="8"/>
    </row>
    <row r="466" spans="2:2">
      <c r="B466" s="8"/>
    </row>
    <row r="467" spans="2:2">
      <c r="B467" s="8"/>
    </row>
    <row r="468" spans="2:2">
      <c r="B468" s="8"/>
    </row>
    <row r="469" spans="2:2">
      <c r="B469" s="8"/>
    </row>
    <row r="470" spans="2:2">
      <c r="B470" s="8"/>
    </row>
    <row r="471" spans="2:2">
      <c r="B471" s="8"/>
    </row>
    <row r="472" spans="2:2">
      <c r="B472" s="8"/>
    </row>
    <row r="473" spans="2:2">
      <c r="B473" s="8"/>
    </row>
    <row r="474" spans="2:2">
      <c r="B474" s="8"/>
    </row>
    <row r="475" spans="2:2">
      <c r="B475" s="8"/>
    </row>
    <row r="476" spans="2:2">
      <c r="B476" s="8"/>
    </row>
    <row r="477" spans="2:2">
      <c r="B477" s="8"/>
    </row>
  </sheetData>
  <mergeCells count="6">
    <mergeCell ref="A2:H2"/>
    <mergeCell ref="A6:B6"/>
    <mergeCell ref="F254:H254"/>
    <mergeCell ref="F255:H255"/>
    <mergeCell ref="C254:D254"/>
    <mergeCell ref="C255:D255"/>
  </mergeCells>
  <pageMargins left="0.39370078740157483" right="0.39370078740157483" top="0.78740157480314965" bottom="0.39370078740157483" header="0.31496062992125984" footer="0.31496062992125984"/>
  <pageSetup paperSize="9" scale="64" fitToHeight="11" orientation="landscape" r:id="rId1"/>
  <rowBreaks count="3" manualBreakCount="3">
    <brk id="51" max="7" man="1"/>
    <brk id="138" max="7" man="1"/>
    <brk id="215" max="7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A1:AK420"/>
  <sheetViews>
    <sheetView view="pageBreakPreview" zoomScale="70" zoomScaleSheetLayoutView="70" workbookViewId="0">
      <selection activeCell="O11" sqref="O11"/>
    </sheetView>
  </sheetViews>
  <sheetFormatPr defaultRowHeight="18.75"/>
  <cols>
    <col min="1" max="1" width="60.28515625" style="2" customWidth="1"/>
    <col min="2" max="2" width="13.140625" style="203" customWidth="1"/>
    <col min="3" max="3" width="16.140625" style="203" customWidth="1"/>
    <col min="4" max="4" width="16.7109375" style="203" customWidth="1"/>
    <col min="5" max="5" width="16.140625" style="203" customWidth="1"/>
    <col min="6" max="6" width="16" style="203" customWidth="1"/>
    <col min="7" max="7" width="16.42578125" style="2" customWidth="1"/>
    <col min="8" max="8" width="18" style="2" bestFit="1" customWidth="1"/>
    <col min="9" max="9" width="12" style="2" customWidth="1"/>
    <col min="10" max="16384" width="9.140625" style="2"/>
  </cols>
  <sheetData>
    <row r="1" spans="1:37" s="105" customFormat="1" ht="27.75" customHeight="1">
      <c r="A1" s="226" t="s">
        <v>103</v>
      </c>
      <c r="B1" s="226"/>
      <c r="C1" s="226"/>
      <c r="D1" s="226"/>
      <c r="E1" s="226"/>
      <c r="F1" s="226"/>
    </row>
    <row r="2" spans="1:37" ht="19.5" customHeight="1">
      <c r="A2" s="206"/>
      <c r="B2" s="3"/>
      <c r="C2" s="206"/>
      <c r="D2" s="206"/>
      <c r="E2" s="206"/>
      <c r="F2" s="3"/>
      <c r="G2" s="195" t="s">
        <v>65</v>
      </c>
    </row>
    <row r="3" spans="1:37" ht="64.5" customHeight="1">
      <c r="A3" s="4" t="s">
        <v>23</v>
      </c>
      <c r="B3" s="12" t="s">
        <v>5</v>
      </c>
      <c r="C3" s="12" t="s">
        <v>513</v>
      </c>
      <c r="D3" s="12" t="s">
        <v>514</v>
      </c>
      <c r="E3" s="12" t="s">
        <v>515</v>
      </c>
      <c r="F3" s="102" t="s">
        <v>114</v>
      </c>
      <c r="G3" s="12" t="s">
        <v>115</v>
      </c>
    </row>
    <row r="4" spans="1:37" ht="24.75" customHeight="1">
      <c r="A4" s="4">
        <v>1</v>
      </c>
      <c r="B4" s="12">
        <v>2</v>
      </c>
      <c r="C4" s="12">
        <v>3</v>
      </c>
      <c r="D4" s="12">
        <v>4</v>
      </c>
      <c r="E4" s="12">
        <v>5</v>
      </c>
      <c r="F4" s="12">
        <v>6</v>
      </c>
      <c r="G4" s="4">
        <v>7</v>
      </c>
    </row>
    <row r="5" spans="1:37" ht="44.25" customHeight="1">
      <c r="A5" s="202" t="s">
        <v>13</v>
      </c>
      <c r="B5" s="178">
        <v>4000</v>
      </c>
      <c r="C5" s="14">
        <f>C6+C61+C192+C189</f>
        <v>17862.8</v>
      </c>
      <c r="D5" s="14">
        <f>D6+D61+D192</f>
        <v>3000.6</v>
      </c>
      <c r="E5" s="14">
        <f>E6+E61+E192</f>
        <v>13211.799999999997</v>
      </c>
      <c r="F5" s="14">
        <f>E5-D5</f>
        <v>10211.199999999997</v>
      </c>
      <c r="G5" s="260">
        <f>(E5/D5)*100</f>
        <v>440.30527227887751</v>
      </c>
      <c r="H5" s="20"/>
      <c r="AK5" s="2">
        <v>0</v>
      </c>
    </row>
    <row r="6" spans="1:37" ht="27.75" customHeight="1">
      <c r="A6" s="67" t="s">
        <v>0</v>
      </c>
      <c r="B6" s="64">
        <v>4020</v>
      </c>
      <c r="C6" s="40">
        <f>SUM(C7:C60)</f>
        <v>7034.0999999999985</v>
      </c>
      <c r="D6" s="40">
        <f>SUM(D7:D60)</f>
        <v>3000.6</v>
      </c>
      <c r="E6" s="40">
        <f>SUM(E7:E60)</f>
        <v>10664.699999999999</v>
      </c>
      <c r="F6" s="14">
        <f>E6-D6</f>
        <v>7664.0999999999985</v>
      </c>
      <c r="G6" s="78">
        <f>(E6/D6)*100</f>
        <v>355.4189162167566</v>
      </c>
    </row>
    <row r="7" spans="1:37" ht="27.75" customHeight="1">
      <c r="A7" s="17" t="s">
        <v>443</v>
      </c>
      <c r="B7" s="64"/>
      <c r="C7" s="40"/>
      <c r="D7" s="166">
        <v>1006.6</v>
      </c>
      <c r="E7" s="40"/>
      <c r="F7" s="14">
        <f t="shared" ref="F7:F70" si="0">E7-D7</f>
        <v>-1006.6</v>
      </c>
      <c r="G7" s="78">
        <f t="shared" ref="G7:G70" si="1">(E7/D7)*100</f>
        <v>0</v>
      </c>
    </row>
    <row r="8" spans="1:37" ht="27.75" customHeight="1">
      <c r="A8" s="17" t="s">
        <v>444</v>
      </c>
      <c r="B8" s="64"/>
      <c r="C8" s="40"/>
      <c r="D8" s="166">
        <v>1994</v>
      </c>
      <c r="E8" s="40"/>
      <c r="F8" s="14">
        <f t="shared" si="0"/>
        <v>-1994</v>
      </c>
      <c r="G8" s="78">
        <f t="shared" si="1"/>
        <v>0</v>
      </c>
    </row>
    <row r="9" spans="1:37" ht="42.75" customHeight="1">
      <c r="A9" s="74" t="s">
        <v>275</v>
      </c>
      <c r="B9" s="64"/>
      <c r="C9" s="18">
        <v>29.9</v>
      </c>
      <c r="D9" s="40"/>
      <c r="E9" s="40"/>
      <c r="F9" s="14">
        <f t="shared" si="0"/>
        <v>0</v>
      </c>
      <c r="G9" s="184" t="e">
        <f t="shared" si="1"/>
        <v>#DIV/0!</v>
      </c>
    </row>
    <row r="10" spans="1:37" ht="27.75" customHeight="1">
      <c r="A10" s="74" t="s">
        <v>276</v>
      </c>
      <c r="B10" s="64"/>
      <c r="C10" s="18">
        <v>195</v>
      </c>
      <c r="D10" s="40"/>
      <c r="E10" s="40"/>
      <c r="F10" s="14">
        <f t="shared" si="0"/>
        <v>0</v>
      </c>
      <c r="G10" s="184" t="e">
        <f t="shared" si="1"/>
        <v>#DIV/0!</v>
      </c>
    </row>
    <row r="11" spans="1:37" ht="42.75" customHeight="1">
      <c r="A11" s="74" t="s">
        <v>277</v>
      </c>
      <c r="B11" s="64"/>
      <c r="C11" s="18">
        <v>250.5</v>
      </c>
      <c r="D11" s="40"/>
      <c r="E11" s="40"/>
      <c r="F11" s="14">
        <f t="shared" si="0"/>
        <v>0</v>
      </c>
      <c r="G11" s="184" t="e">
        <f t="shared" si="1"/>
        <v>#DIV/0!</v>
      </c>
    </row>
    <row r="12" spans="1:37" ht="27.75" customHeight="1">
      <c r="A12" s="74" t="s">
        <v>278</v>
      </c>
      <c r="B12" s="64"/>
      <c r="C12" s="18">
        <v>42.1</v>
      </c>
      <c r="D12" s="40"/>
      <c r="E12" s="40"/>
      <c r="F12" s="14">
        <f t="shared" si="0"/>
        <v>0</v>
      </c>
      <c r="G12" s="184" t="e">
        <f t="shared" si="1"/>
        <v>#DIV/0!</v>
      </c>
    </row>
    <row r="13" spans="1:37" ht="27.75" customHeight="1">
      <c r="A13" s="74" t="s">
        <v>279</v>
      </c>
      <c r="B13" s="64"/>
      <c r="C13" s="18">
        <v>32.9</v>
      </c>
      <c r="D13" s="40"/>
      <c r="E13" s="40"/>
      <c r="F13" s="14">
        <f t="shared" si="0"/>
        <v>0</v>
      </c>
      <c r="G13" s="184" t="e">
        <f t="shared" si="1"/>
        <v>#DIV/0!</v>
      </c>
    </row>
    <row r="14" spans="1:37" ht="27.75" customHeight="1">
      <c r="A14" s="74" t="s">
        <v>280</v>
      </c>
      <c r="B14" s="64"/>
      <c r="C14" s="18">
        <v>48.7</v>
      </c>
      <c r="D14" s="40"/>
      <c r="E14" s="40"/>
      <c r="F14" s="14">
        <f t="shared" si="0"/>
        <v>0</v>
      </c>
      <c r="G14" s="184" t="e">
        <f t="shared" si="1"/>
        <v>#DIV/0!</v>
      </c>
    </row>
    <row r="15" spans="1:37" ht="63.75" customHeight="1">
      <c r="A15" s="74" t="s">
        <v>281</v>
      </c>
      <c r="B15" s="64"/>
      <c r="C15" s="18">
        <v>1621.6</v>
      </c>
      <c r="D15" s="40"/>
      <c r="E15" s="40"/>
      <c r="F15" s="14">
        <f t="shared" si="0"/>
        <v>0</v>
      </c>
      <c r="G15" s="184" t="e">
        <f t="shared" si="1"/>
        <v>#DIV/0!</v>
      </c>
    </row>
    <row r="16" spans="1:37" ht="93" customHeight="1">
      <c r="A16" s="74" t="s">
        <v>393</v>
      </c>
      <c r="B16" s="64"/>
      <c r="C16" s="18">
        <v>1666</v>
      </c>
      <c r="D16" s="40"/>
      <c r="E16" s="40"/>
      <c r="F16" s="14">
        <f t="shared" si="0"/>
        <v>0</v>
      </c>
      <c r="G16" s="184" t="e">
        <f t="shared" si="1"/>
        <v>#DIV/0!</v>
      </c>
    </row>
    <row r="17" spans="1:7" ht="42" customHeight="1">
      <c r="A17" s="74" t="s">
        <v>394</v>
      </c>
      <c r="B17" s="64"/>
      <c r="C17" s="18">
        <v>331</v>
      </c>
      <c r="D17" s="40"/>
      <c r="E17" s="40"/>
      <c r="F17" s="14">
        <f t="shared" si="0"/>
        <v>0</v>
      </c>
      <c r="G17" s="184" t="e">
        <f t="shared" si="1"/>
        <v>#DIV/0!</v>
      </c>
    </row>
    <row r="18" spans="1:7" ht="49.5" customHeight="1">
      <c r="A18" s="74" t="s">
        <v>395</v>
      </c>
      <c r="B18" s="64"/>
      <c r="C18" s="18">
        <v>49.1</v>
      </c>
      <c r="D18" s="40"/>
      <c r="E18" s="40"/>
      <c r="F18" s="14">
        <f t="shared" si="0"/>
        <v>0</v>
      </c>
      <c r="G18" s="184" t="e">
        <f t="shared" si="1"/>
        <v>#DIV/0!</v>
      </c>
    </row>
    <row r="19" spans="1:7" ht="27.75" customHeight="1">
      <c r="A19" s="74" t="s">
        <v>396</v>
      </c>
      <c r="B19" s="64"/>
      <c r="C19" s="18">
        <v>56.4</v>
      </c>
      <c r="D19" s="40"/>
      <c r="E19" s="40"/>
      <c r="F19" s="14">
        <f t="shared" si="0"/>
        <v>0</v>
      </c>
      <c r="G19" s="184" t="e">
        <f t="shared" si="1"/>
        <v>#DIV/0!</v>
      </c>
    </row>
    <row r="20" spans="1:7" ht="27.75" customHeight="1">
      <c r="A20" s="74" t="s">
        <v>397</v>
      </c>
      <c r="B20" s="64"/>
      <c r="C20" s="18">
        <v>75</v>
      </c>
      <c r="D20" s="40"/>
      <c r="E20" s="40"/>
      <c r="F20" s="14">
        <f t="shared" si="0"/>
        <v>0</v>
      </c>
      <c r="G20" s="184" t="e">
        <f t="shared" si="1"/>
        <v>#DIV/0!</v>
      </c>
    </row>
    <row r="21" spans="1:7" ht="27.75" customHeight="1">
      <c r="A21" s="74" t="s">
        <v>398</v>
      </c>
      <c r="B21" s="64"/>
      <c r="C21" s="18">
        <v>41.2</v>
      </c>
      <c r="D21" s="40"/>
      <c r="E21" s="40"/>
      <c r="F21" s="14">
        <f t="shared" si="0"/>
        <v>0</v>
      </c>
      <c r="G21" s="184" t="e">
        <f t="shared" si="1"/>
        <v>#DIV/0!</v>
      </c>
    </row>
    <row r="22" spans="1:7" ht="27.75" customHeight="1">
      <c r="A22" s="74" t="s">
        <v>399</v>
      </c>
      <c r="B22" s="64"/>
      <c r="C22" s="18">
        <v>1700</v>
      </c>
      <c r="D22" s="40"/>
      <c r="E22" s="40"/>
      <c r="F22" s="14">
        <f t="shared" si="0"/>
        <v>0</v>
      </c>
      <c r="G22" s="184" t="e">
        <f t="shared" si="1"/>
        <v>#DIV/0!</v>
      </c>
    </row>
    <row r="23" spans="1:7" ht="39.75" customHeight="1">
      <c r="A23" s="74" t="s">
        <v>400</v>
      </c>
      <c r="B23" s="64"/>
      <c r="C23" s="18">
        <v>35.4</v>
      </c>
      <c r="D23" s="40"/>
      <c r="E23" s="40"/>
      <c r="F23" s="14">
        <f t="shared" si="0"/>
        <v>0</v>
      </c>
      <c r="G23" s="184" t="e">
        <f t="shared" si="1"/>
        <v>#DIV/0!</v>
      </c>
    </row>
    <row r="24" spans="1:7" ht="27.75" customHeight="1">
      <c r="A24" s="74" t="s">
        <v>401</v>
      </c>
      <c r="B24" s="64"/>
      <c r="C24" s="18">
        <v>780</v>
      </c>
      <c r="D24" s="40"/>
      <c r="E24" s="40"/>
      <c r="F24" s="14">
        <f t="shared" si="0"/>
        <v>0</v>
      </c>
      <c r="G24" s="184" t="e">
        <f t="shared" si="1"/>
        <v>#DIV/0!</v>
      </c>
    </row>
    <row r="25" spans="1:7" ht="27.75" customHeight="1">
      <c r="A25" s="74" t="s">
        <v>402</v>
      </c>
      <c r="B25" s="64"/>
      <c r="C25" s="18">
        <v>34.4</v>
      </c>
      <c r="D25" s="40"/>
      <c r="E25" s="40"/>
      <c r="F25" s="14">
        <f t="shared" si="0"/>
        <v>0</v>
      </c>
      <c r="G25" s="184" t="e">
        <f t="shared" si="1"/>
        <v>#DIV/0!</v>
      </c>
    </row>
    <row r="26" spans="1:7" ht="40.5" customHeight="1">
      <c r="A26" s="74" t="s">
        <v>403</v>
      </c>
      <c r="B26" s="12"/>
      <c r="C26" s="18">
        <v>44.9</v>
      </c>
      <c r="D26" s="18"/>
      <c r="E26" s="18"/>
      <c r="F26" s="18">
        <f t="shared" si="0"/>
        <v>0</v>
      </c>
      <c r="G26" s="184" t="e">
        <f t="shared" si="1"/>
        <v>#DIV/0!</v>
      </c>
    </row>
    <row r="27" spans="1:7" ht="25.5" customHeight="1">
      <c r="A27" s="74" t="s">
        <v>371</v>
      </c>
      <c r="B27" s="12"/>
      <c r="C27" s="18"/>
      <c r="D27" s="18"/>
      <c r="E27" s="18">
        <v>12.6</v>
      </c>
      <c r="F27" s="14">
        <f t="shared" si="0"/>
        <v>12.6</v>
      </c>
      <c r="G27" s="184" t="e">
        <f t="shared" si="1"/>
        <v>#DIV/0!</v>
      </c>
    </row>
    <row r="28" spans="1:7" ht="24.75" customHeight="1">
      <c r="A28" s="74" t="s">
        <v>353</v>
      </c>
      <c r="B28" s="12"/>
      <c r="C28" s="18"/>
      <c r="D28" s="18"/>
      <c r="E28" s="18">
        <v>30.6</v>
      </c>
      <c r="F28" s="14">
        <f t="shared" si="0"/>
        <v>30.6</v>
      </c>
      <c r="G28" s="184" t="e">
        <f t="shared" si="1"/>
        <v>#DIV/0!</v>
      </c>
    </row>
    <row r="29" spans="1:7" ht="27" customHeight="1">
      <c r="A29" s="74" t="s">
        <v>372</v>
      </c>
      <c r="B29" s="12"/>
      <c r="C29" s="18"/>
      <c r="D29" s="18"/>
      <c r="E29" s="18">
        <v>27.9</v>
      </c>
      <c r="F29" s="14">
        <f t="shared" si="0"/>
        <v>27.9</v>
      </c>
      <c r="G29" s="184" t="e">
        <f t="shared" si="1"/>
        <v>#DIV/0!</v>
      </c>
    </row>
    <row r="30" spans="1:7" ht="27.75" customHeight="1">
      <c r="A30" s="74" t="s">
        <v>373</v>
      </c>
      <c r="B30" s="12"/>
      <c r="C30" s="18"/>
      <c r="D30" s="18"/>
      <c r="E30" s="18">
        <v>118.4</v>
      </c>
      <c r="F30" s="14">
        <f t="shared" si="0"/>
        <v>118.4</v>
      </c>
      <c r="G30" s="184" t="e">
        <f t="shared" si="1"/>
        <v>#DIV/0!</v>
      </c>
    </row>
    <row r="31" spans="1:7" ht="26.25" customHeight="1">
      <c r="A31" s="74" t="s">
        <v>374</v>
      </c>
      <c r="B31" s="12"/>
      <c r="C31" s="18"/>
      <c r="D31" s="18"/>
      <c r="E31" s="18">
        <v>13.9</v>
      </c>
      <c r="F31" s="14">
        <f t="shared" si="0"/>
        <v>13.9</v>
      </c>
      <c r="G31" s="184" t="e">
        <f t="shared" si="1"/>
        <v>#DIV/0!</v>
      </c>
    </row>
    <row r="32" spans="1:7" ht="26.25" customHeight="1">
      <c r="A32" s="74" t="s">
        <v>375</v>
      </c>
      <c r="B32" s="12"/>
      <c r="C32" s="18"/>
      <c r="D32" s="18"/>
      <c r="E32" s="18">
        <v>41.8</v>
      </c>
      <c r="F32" s="14">
        <f t="shared" si="0"/>
        <v>41.8</v>
      </c>
      <c r="G32" s="184" t="e">
        <f t="shared" si="1"/>
        <v>#DIV/0!</v>
      </c>
    </row>
    <row r="33" spans="1:7" ht="28.5" customHeight="1">
      <c r="A33" s="74" t="s">
        <v>376</v>
      </c>
      <c r="B33" s="12"/>
      <c r="C33" s="18"/>
      <c r="D33" s="18"/>
      <c r="E33" s="18">
        <v>55.7</v>
      </c>
      <c r="F33" s="14">
        <f t="shared" si="0"/>
        <v>55.7</v>
      </c>
      <c r="G33" s="184" t="e">
        <f t="shared" si="1"/>
        <v>#DIV/0!</v>
      </c>
    </row>
    <row r="34" spans="1:7" ht="24.75" customHeight="1">
      <c r="A34" s="74" t="s">
        <v>377</v>
      </c>
      <c r="B34" s="12"/>
      <c r="C34" s="18"/>
      <c r="D34" s="18"/>
      <c r="E34" s="18">
        <v>33.4</v>
      </c>
      <c r="F34" s="14">
        <f t="shared" si="0"/>
        <v>33.4</v>
      </c>
      <c r="G34" s="184" t="e">
        <f t="shared" si="1"/>
        <v>#DIV/0!</v>
      </c>
    </row>
    <row r="35" spans="1:7" ht="26.25" customHeight="1">
      <c r="A35" s="74" t="s">
        <v>378</v>
      </c>
      <c r="B35" s="12"/>
      <c r="C35" s="18"/>
      <c r="D35" s="18"/>
      <c r="E35" s="18">
        <v>8.4</v>
      </c>
      <c r="F35" s="14">
        <f t="shared" si="0"/>
        <v>8.4</v>
      </c>
      <c r="G35" s="184" t="e">
        <f t="shared" si="1"/>
        <v>#DIV/0!</v>
      </c>
    </row>
    <row r="36" spans="1:7" ht="25.5" customHeight="1">
      <c r="A36" s="74" t="s">
        <v>379</v>
      </c>
      <c r="B36" s="12"/>
      <c r="C36" s="18"/>
      <c r="D36" s="18"/>
      <c r="E36" s="18">
        <v>75.2</v>
      </c>
      <c r="F36" s="14">
        <f t="shared" si="0"/>
        <v>75.2</v>
      </c>
      <c r="G36" s="184" t="e">
        <f t="shared" si="1"/>
        <v>#DIV/0!</v>
      </c>
    </row>
    <row r="37" spans="1:7" ht="30" customHeight="1">
      <c r="A37" s="74" t="s">
        <v>448</v>
      </c>
      <c r="B37" s="12"/>
      <c r="C37" s="18"/>
      <c r="D37" s="18"/>
      <c r="E37" s="18"/>
      <c r="F37" s="14">
        <f t="shared" si="0"/>
        <v>0</v>
      </c>
      <c r="G37" s="184" t="e">
        <f t="shared" si="1"/>
        <v>#DIV/0!</v>
      </c>
    </row>
    <row r="38" spans="1:7" ht="30" customHeight="1">
      <c r="A38" s="74" t="s">
        <v>380</v>
      </c>
      <c r="B38" s="12"/>
      <c r="C38" s="18"/>
      <c r="D38" s="18"/>
      <c r="E38" s="18">
        <v>224.1</v>
      </c>
      <c r="F38" s="14">
        <f t="shared" si="0"/>
        <v>224.1</v>
      </c>
      <c r="G38" s="184" t="e">
        <f t="shared" si="1"/>
        <v>#DIV/0!</v>
      </c>
    </row>
    <row r="39" spans="1:7" ht="24.75" customHeight="1">
      <c r="A39" s="74" t="s">
        <v>381</v>
      </c>
      <c r="B39" s="12"/>
      <c r="C39" s="18"/>
      <c r="D39" s="18"/>
      <c r="E39" s="18">
        <v>98.7</v>
      </c>
      <c r="F39" s="14">
        <f t="shared" si="0"/>
        <v>98.7</v>
      </c>
      <c r="G39" s="184" t="e">
        <f t="shared" si="1"/>
        <v>#DIV/0!</v>
      </c>
    </row>
    <row r="40" spans="1:7" ht="40.5" customHeight="1">
      <c r="A40" s="74" t="s">
        <v>382</v>
      </c>
      <c r="B40" s="12"/>
      <c r="C40" s="18"/>
      <c r="D40" s="18"/>
      <c r="E40" s="18">
        <v>95</v>
      </c>
      <c r="F40" s="14">
        <f t="shared" si="0"/>
        <v>95</v>
      </c>
      <c r="G40" s="184" t="e">
        <f t="shared" si="1"/>
        <v>#DIV/0!</v>
      </c>
    </row>
    <row r="41" spans="1:7" ht="26.25" customHeight="1">
      <c r="A41" s="74" t="s">
        <v>383</v>
      </c>
      <c r="B41" s="12"/>
      <c r="C41" s="18"/>
      <c r="D41" s="18"/>
      <c r="E41" s="18">
        <v>93</v>
      </c>
      <c r="F41" s="14">
        <f t="shared" si="0"/>
        <v>93</v>
      </c>
      <c r="G41" s="184" t="e">
        <f t="shared" si="1"/>
        <v>#DIV/0!</v>
      </c>
    </row>
    <row r="42" spans="1:7" ht="22.5" customHeight="1">
      <c r="A42" s="74" t="s">
        <v>384</v>
      </c>
      <c r="B42" s="12"/>
      <c r="C42" s="18"/>
      <c r="D42" s="18"/>
      <c r="E42" s="18">
        <v>53.3</v>
      </c>
      <c r="F42" s="14">
        <f t="shared" si="0"/>
        <v>53.3</v>
      </c>
      <c r="G42" s="184" t="e">
        <f t="shared" si="1"/>
        <v>#DIV/0!</v>
      </c>
    </row>
    <row r="43" spans="1:7" ht="25.5" customHeight="1">
      <c r="A43" s="74" t="s">
        <v>385</v>
      </c>
      <c r="B43" s="12"/>
      <c r="C43" s="18"/>
      <c r="D43" s="18"/>
      <c r="E43" s="18">
        <v>46.5</v>
      </c>
      <c r="F43" s="14">
        <f t="shared" si="0"/>
        <v>46.5</v>
      </c>
      <c r="G43" s="184" t="e">
        <f t="shared" si="1"/>
        <v>#DIV/0!</v>
      </c>
    </row>
    <row r="44" spans="1:7" ht="40.5" customHeight="1">
      <c r="A44" s="74" t="s">
        <v>386</v>
      </c>
      <c r="B44" s="12"/>
      <c r="C44" s="18"/>
      <c r="D44" s="18"/>
      <c r="E44" s="18">
        <v>567.79999999999995</v>
      </c>
      <c r="F44" s="14">
        <f t="shared" si="0"/>
        <v>567.79999999999995</v>
      </c>
      <c r="G44" s="184" t="e">
        <f t="shared" si="1"/>
        <v>#DIV/0!</v>
      </c>
    </row>
    <row r="45" spans="1:7" ht="25.5" customHeight="1">
      <c r="A45" s="74" t="s">
        <v>462</v>
      </c>
      <c r="B45" s="12"/>
      <c r="C45" s="18"/>
      <c r="D45" s="18"/>
      <c r="E45" s="18">
        <v>3215</v>
      </c>
      <c r="F45" s="14">
        <f t="shared" si="0"/>
        <v>3215</v>
      </c>
      <c r="G45" s="184" t="e">
        <f t="shared" si="1"/>
        <v>#DIV/0!</v>
      </c>
    </row>
    <row r="46" spans="1:7" ht="23.25" customHeight="1">
      <c r="A46" s="74" t="s">
        <v>449</v>
      </c>
      <c r="B46" s="12"/>
      <c r="C46" s="18"/>
      <c r="D46" s="18"/>
      <c r="E46" s="18">
        <v>315</v>
      </c>
      <c r="F46" s="14">
        <f t="shared" si="0"/>
        <v>315</v>
      </c>
      <c r="G46" s="184" t="e">
        <f t="shared" si="1"/>
        <v>#DIV/0!</v>
      </c>
    </row>
    <row r="47" spans="1:7" ht="25.5" customHeight="1">
      <c r="A47" s="74" t="s">
        <v>450</v>
      </c>
      <c r="B47" s="12"/>
      <c r="C47" s="18"/>
      <c r="D47" s="18"/>
      <c r="E47" s="18">
        <v>101.6</v>
      </c>
      <c r="F47" s="14">
        <f t="shared" si="0"/>
        <v>101.6</v>
      </c>
      <c r="G47" s="184" t="e">
        <f t="shared" si="1"/>
        <v>#DIV/0!</v>
      </c>
    </row>
    <row r="48" spans="1:7" ht="40.5" customHeight="1">
      <c r="A48" s="74" t="s">
        <v>451</v>
      </c>
      <c r="B48" s="12"/>
      <c r="C48" s="18"/>
      <c r="D48" s="18"/>
      <c r="E48" s="18">
        <v>116.2</v>
      </c>
      <c r="F48" s="14">
        <f t="shared" si="0"/>
        <v>116.2</v>
      </c>
      <c r="G48" s="184" t="e">
        <f t="shared" si="1"/>
        <v>#DIV/0!</v>
      </c>
    </row>
    <row r="49" spans="1:9" ht="26.25" customHeight="1">
      <c r="A49" s="74" t="s">
        <v>452</v>
      </c>
      <c r="B49" s="12"/>
      <c r="C49" s="18"/>
      <c r="D49" s="18"/>
      <c r="E49" s="18">
        <v>190.9</v>
      </c>
      <c r="F49" s="14">
        <f t="shared" si="0"/>
        <v>190.9</v>
      </c>
      <c r="G49" s="184" t="e">
        <f t="shared" si="1"/>
        <v>#DIV/0!</v>
      </c>
    </row>
    <row r="50" spans="1:9" ht="26.25" customHeight="1">
      <c r="A50" s="74" t="s">
        <v>453</v>
      </c>
      <c r="B50" s="12"/>
      <c r="C50" s="18"/>
      <c r="D50" s="18"/>
      <c r="E50" s="18">
        <v>185.3</v>
      </c>
      <c r="F50" s="14">
        <f t="shared" si="0"/>
        <v>185.3</v>
      </c>
      <c r="G50" s="184" t="e">
        <f t="shared" si="1"/>
        <v>#DIV/0!</v>
      </c>
    </row>
    <row r="51" spans="1:9" ht="24.75" customHeight="1">
      <c r="A51" s="74" t="s">
        <v>454</v>
      </c>
      <c r="B51" s="12"/>
      <c r="C51" s="18"/>
      <c r="D51" s="18"/>
      <c r="E51" s="18">
        <v>175</v>
      </c>
      <c r="F51" s="14">
        <f t="shared" si="0"/>
        <v>175</v>
      </c>
      <c r="G51" s="184" t="e">
        <f t="shared" si="1"/>
        <v>#DIV/0!</v>
      </c>
    </row>
    <row r="52" spans="1:9" ht="40.5" customHeight="1">
      <c r="A52" s="74" t="s">
        <v>463</v>
      </c>
      <c r="B52" s="12"/>
      <c r="C52" s="18"/>
      <c r="D52" s="18"/>
      <c r="E52" s="18">
        <v>142.69999999999999</v>
      </c>
      <c r="F52" s="14">
        <f t="shared" si="0"/>
        <v>142.69999999999999</v>
      </c>
      <c r="G52" s="184" t="e">
        <f t="shared" si="1"/>
        <v>#DIV/0!</v>
      </c>
    </row>
    <row r="53" spans="1:9" ht="27.75" customHeight="1">
      <c r="A53" s="74" t="s">
        <v>455</v>
      </c>
      <c r="B53" s="12"/>
      <c r="C53" s="18"/>
      <c r="D53" s="18"/>
      <c r="E53" s="18">
        <v>40</v>
      </c>
      <c r="F53" s="14">
        <f t="shared" si="0"/>
        <v>40</v>
      </c>
      <c r="G53" s="184" t="e">
        <f t="shared" si="1"/>
        <v>#DIV/0!</v>
      </c>
    </row>
    <row r="54" spans="1:9" ht="40.5" customHeight="1">
      <c r="A54" s="74" t="s">
        <v>456</v>
      </c>
      <c r="B54" s="12"/>
      <c r="C54" s="18"/>
      <c r="D54" s="18"/>
      <c r="E54" s="18">
        <v>1994</v>
      </c>
      <c r="F54" s="14">
        <f t="shared" si="0"/>
        <v>1994</v>
      </c>
      <c r="G54" s="184" t="e">
        <f t="shared" si="1"/>
        <v>#DIV/0!</v>
      </c>
    </row>
    <row r="55" spans="1:9" ht="40.5" customHeight="1">
      <c r="A55" s="74" t="s">
        <v>457</v>
      </c>
      <c r="B55" s="12"/>
      <c r="C55" s="18"/>
      <c r="D55" s="18"/>
      <c r="E55" s="18">
        <v>504</v>
      </c>
      <c r="F55" s="14">
        <f t="shared" si="0"/>
        <v>504</v>
      </c>
      <c r="G55" s="184" t="e">
        <f t="shared" si="1"/>
        <v>#DIV/0!</v>
      </c>
    </row>
    <row r="56" spans="1:9" ht="27.75" customHeight="1">
      <c r="A56" s="74" t="s">
        <v>464</v>
      </c>
      <c r="B56" s="12"/>
      <c r="C56" s="18"/>
      <c r="D56" s="18"/>
      <c r="E56" s="18">
        <v>51.8</v>
      </c>
      <c r="F56" s="14">
        <f t="shared" si="0"/>
        <v>51.8</v>
      </c>
      <c r="G56" s="184" t="e">
        <f t="shared" si="1"/>
        <v>#DIV/0!</v>
      </c>
    </row>
    <row r="57" spans="1:9" ht="24.75" customHeight="1">
      <c r="A57" s="74" t="s">
        <v>458</v>
      </c>
      <c r="B57" s="12"/>
      <c r="C57" s="18"/>
      <c r="D57" s="18"/>
      <c r="E57" s="18">
        <v>28.4</v>
      </c>
      <c r="F57" s="14">
        <f t="shared" si="0"/>
        <v>28.4</v>
      </c>
      <c r="G57" s="184" t="e">
        <f t="shared" si="1"/>
        <v>#DIV/0!</v>
      </c>
    </row>
    <row r="58" spans="1:9" ht="29.25" customHeight="1">
      <c r="A58" s="74" t="s">
        <v>459</v>
      </c>
      <c r="B58" s="12"/>
      <c r="C58" s="18"/>
      <c r="D58" s="18"/>
      <c r="E58" s="18">
        <v>1006.7</v>
      </c>
      <c r="F58" s="14">
        <f t="shared" si="0"/>
        <v>1006.7</v>
      </c>
      <c r="G58" s="184" t="e">
        <f t="shared" si="1"/>
        <v>#DIV/0!</v>
      </c>
    </row>
    <row r="59" spans="1:9" ht="25.5" customHeight="1">
      <c r="A59" s="74" t="s">
        <v>460</v>
      </c>
      <c r="B59" s="12"/>
      <c r="C59" s="18"/>
      <c r="D59" s="18"/>
      <c r="E59" s="18">
        <v>925.5</v>
      </c>
      <c r="F59" s="14">
        <f t="shared" si="0"/>
        <v>925.5</v>
      </c>
      <c r="G59" s="184" t="e">
        <f t="shared" si="1"/>
        <v>#DIV/0!</v>
      </c>
    </row>
    <row r="60" spans="1:9" ht="42.75" customHeight="1">
      <c r="A60" s="74" t="s">
        <v>461</v>
      </c>
      <c r="B60" s="103"/>
      <c r="C60" s="18"/>
      <c r="D60" s="40"/>
      <c r="E60" s="18">
        <v>76.3</v>
      </c>
      <c r="F60" s="14">
        <f t="shared" si="0"/>
        <v>76.3</v>
      </c>
      <c r="G60" s="184" t="e">
        <f t="shared" si="1"/>
        <v>#DIV/0!</v>
      </c>
    </row>
    <row r="61" spans="1:9" s="5" customFormat="1" ht="43.5" customHeight="1">
      <c r="A61" s="67" t="s">
        <v>7</v>
      </c>
      <c r="B61" s="103">
        <v>4030</v>
      </c>
      <c r="C61" s="40">
        <f>SUM(C62:C156)</f>
        <v>218.70000000000002</v>
      </c>
      <c r="D61" s="40">
        <f>SUM(D104:D156)</f>
        <v>0</v>
      </c>
      <c r="E61" s="40">
        <f>SUM(E62:E188)</f>
        <v>786.3</v>
      </c>
      <c r="F61" s="14">
        <f t="shared" si="0"/>
        <v>786.3</v>
      </c>
      <c r="G61" s="185" t="e">
        <f t="shared" si="1"/>
        <v>#DIV/0!</v>
      </c>
      <c r="H61" s="25"/>
      <c r="I61" s="25"/>
    </row>
    <row r="62" spans="1:9" s="5" customFormat="1" ht="28.5" customHeight="1">
      <c r="A62" s="167" t="s">
        <v>258</v>
      </c>
      <c r="B62" s="103"/>
      <c r="C62" s="18">
        <v>14.1</v>
      </c>
      <c r="D62" s="40"/>
      <c r="E62" s="40"/>
      <c r="F62" s="14">
        <f t="shared" si="0"/>
        <v>0</v>
      </c>
      <c r="G62" s="185" t="e">
        <f t="shared" si="1"/>
        <v>#DIV/0!</v>
      </c>
      <c r="H62" s="25"/>
    </row>
    <row r="63" spans="1:9" s="5" customFormat="1" ht="24" customHeight="1">
      <c r="A63" s="167" t="s">
        <v>259</v>
      </c>
      <c r="B63" s="103"/>
      <c r="C63" s="18">
        <v>8.1999999999999993</v>
      </c>
      <c r="D63" s="40"/>
      <c r="E63" s="40"/>
      <c r="F63" s="14">
        <f t="shared" si="0"/>
        <v>0</v>
      </c>
      <c r="G63" s="185" t="e">
        <f t="shared" si="1"/>
        <v>#DIV/0!</v>
      </c>
      <c r="H63" s="25"/>
    </row>
    <row r="64" spans="1:9" s="5" customFormat="1" ht="26.25" customHeight="1">
      <c r="A64" s="167" t="s">
        <v>404</v>
      </c>
      <c r="B64" s="103"/>
      <c r="C64" s="18">
        <v>5.8</v>
      </c>
      <c r="D64" s="40"/>
      <c r="E64" s="40"/>
      <c r="F64" s="14">
        <f t="shared" si="0"/>
        <v>0</v>
      </c>
      <c r="G64" s="185" t="e">
        <f t="shared" si="1"/>
        <v>#DIV/0!</v>
      </c>
      <c r="H64" s="25"/>
    </row>
    <row r="65" spans="1:8" s="5" customFormat="1" ht="30.75" customHeight="1">
      <c r="A65" s="210" t="s">
        <v>260</v>
      </c>
      <c r="B65" s="103"/>
      <c r="C65" s="18">
        <v>0.1</v>
      </c>
      <c r="D65" s="40"/>
      <c r="E65" s="40"/>
      <c r="F65" s="14">
        <f t="shared" si="0"/>
        <v>0</v>
      </c>
      <c r="G65" s="185" t="e">
        <f t="shared" si="1"/>
        <v>#DIV/0!</v>
      </c>
      <c r="H65" s="25"/>
    </row>
    <row r="66" spans="1:8" s="5" customFormat="1" ht="31.5" customHeight="1">
      <c r="A66" s="167" t="s">
        <v>283</v>
      </c>
      <c r="B66" s="103"/>
      <c r="C66" s="18">
        <v>1.6</v>
      </c>
      <c r="D66" s="40"/>
      <c r="E66" s="40"/>
      <c r="F66" s="14">
        <f t="shared" si="0"/>
        <v>0</v>
      </c>
      <c r="G66" s="185" t="e">
        <f t="shared" si="1"/>
        <v>#DIV/0!</v>
      </c>
      <c r="H66" s="25"/>
    </row>
    <row r="67" spans="1:8" s="5" customFormat="1" ht="28.5" customHeight="1">
      <c r="A67" s="167" t="s">
        <v>284</v>
      </c>
      <c r="B67" s="103"/>
      <c r="C67" s="18">
        <v>1.2</v>
      </c>
      <c r="D67" s="40"/>
      <c r="E67" s="40"/>
      <c r="F67" s="14">
        <f t="shared" si="0"/>
        <v>0</v>
      </c>
      <c r="G67" s="185" t="e">
        <f t="shared" si="1"/>
        <v>#DIV/0!</v>
      </c>
      <c r="H67" s="25"/>
    </row>
    <row r="68" spans="1:8" s="5" customFormat="1" ht="25.5" customHeight="1">
      <c r="A68" s="74" t="s">
        <v>261</v>
      </c>
      <c r="B68" s="103"/>
      <c r="C68" s="18">
        <v>0.2</v>
      </c>
      <c r="D68" s="40"/>
      <c r="E68" s="40"/>
      <c r="F68" s="14">
        <f t="shared" si="0"/>
        <v>0</v>
      </c>
      <c r="G68" s="185" t="e">
        <f t="shared" si="1"/>
        <v>#DIV/0!</v>
      </c>
      <c r="H68" s="25"/>
    </row>
    <row r="69" spans="1:8" s="5" customFormat="1" ht="28.5" customHeight="1">
      <c r="A69" s="167" t="s">
        <v>262</v>
      </c>
      <c r="B69" s="103"/>
      <c r="C69" s="18">
        <v>0.5</v>
      </c>
      <c r="D69" s="40"/>
      <c r="E69" s="40"/>
      <c r="F69" s="14">
        <f t="shared" si="0"/>
        <v>0</v>
      </c>
      <c r="G69" s="185" t="e">
        <f t="shared" si="1"/>
        <v>#DIV/0!</v>
      </c>
      <c r="H69" s="25"/>
    </row>
    <row r="70" spans="1:8" s="5" customFormat="1" ht="38.25" customHeight="1">
      <c r="A70" s="74" t="s">
        <v>263</v>
      </c>
      <c r="B70" s="103"/>
      <c r="C70" s="18">
        <v>0.7</v>
      </c>
      <c r="D70" s="40"/>
      <c r="E70" s="40"/>
      <c r="F70" s="14">
        <f t="shared" si="0"/>
        <v>0</v>
      </c>
      <c r="G70" s="185" t="e">
        <f t="shared" si="1"/>
        <v>#DIV/0!</v>
      </c>
      <c r="H70" s="25"/>
    </row>
    <row r="71" spans="1:8" s="5" customFormat="1" ht="33.75" customHeight="1">
      <c r="A71" s="167" t="s">
        <v>264</v>
      </c>
      <c r="B71" s="103"/>
      <c r="C71" s="18">
        <v>1.9</v>
      </c>
      <c r="D71" s="40"/>
      <c r="E71" s="40"/>
      <c r="F71" s="14">
        <f t="shared" ref="F71:F134" si="2">E71-D71</f>
        <v>0</v>
      </c>
      <c r="G71" s="185" t="e">
        <f t="shared" ref="G71:G134" si="3">(E71/D71)*100</f>
        <v>#DIV/0!</v>
      </c>
      <c r="H71" s="25"/>
    </row>
    <row r="72" spans="1:8" s="5" customFormat="1" ht="30.75" customHeight="1">
      <c r="A72" s="167" t="s">
        <v>265</v>
      </c>
      <c r="B72" s="103"/>
      <c r="C72" s="18">
        <v>2.1</v>
      </c>
      <c r="D72" s="40"/>
      <c r="E72" s="40"/>
      <c r="F72" s="14">
        <f t="shared" si="2"/>
        <v>0</v>
      </c>
      <c r="G72" s="185" t="e">
        <f t="shared" si="3"/>
        <v>#DIV/0!</v>
      </c>
      <c r="H72" s="25"/>
    </row>
    <row r="73" spans="1:8" s="5" customFormat="1" ht="31.5" customHeight="1">
      <c r="A73" s="167" t="s">
        <v>266</v>
      </c>
      <c r="B73" s="103"/>
      <c r="C73" s="18">
        <v>1.7</v>
      </c>
      <c r="D73" s="40"/>
      <c r="E73" s="40"/>
      <c r="F73" s="14">
        <f t="shared" si="2"/>
        <v>0</v>
      </c>
      <c r="G73" s="185" t="e">
        <f t="shared" si="3"/>
        <v>#DIV/0!</v>
      </c>
      <c r="H73" s="25"/>
    </row>
    <row r="74" spans="1:8" s="5" customFormat="1" ht="30.75" customHeight="1">
      <c r="A74" s="167" t="s">
        <v>267</v>
      </c>
      <c r="B74" s="103"/>
      <c r="C74" s="18">
        <v>1</v>
      </c>
      <c r="D74" s="40"/>
      <c r="E74" s="40"/>
      <c r="F74" s="14">
        <f t="shared" si="2"/>
        <v>0</v>
      </c>
      <c r="G74" s="185" t="e">
        <f t="shared" si="3"/>
        <v>#DIV/0!</v>
      </c>
      <c r="H74" s="25"/>
    </row>
    <row r="75" spans="1:8" s="5" customFormat="1" ht="26.25" customHeight="1">
      <c r="A75" s="167" t="s">
        <v>268</v>
      </c>
      <c r="B75" s="103"/>
      <c r="C75" s="18">
        <v>1.3</v>
      </c>
      <c r="D75" s="40"/>
      <c r="E75" s="40"/>
      <c r="F75" s="14">
        <f t="shared" si="2"/>
        <v>0</v>
      </c>
      <c r="G75" s="185" t="e">
        <f t="shared" si="3"/>
        <v>#DIV/0!</v>
      </c>
      <c r="H75" s="25"/>
    </row>
    <row r="76" spans="1:8" s="5" customFormat="1" ht="30" customHeight="1">
      <c r="A76" s="167" t="s">
        <v>269</v>
      </c>
      <c r="B76" s="103"/>
      <c r="C76" s="18">
        <v>0.4</v>
      </c>
      <c r="D76" s="40"/>
      <c r="E76" s="40"/>
      <c r="F76" s="14">
        <f t="shared" si="2"/>
        <v>0</v>
      </c>
      <c r="G76" s="185" t="e">
        <f t="shared" si="3"/>
        <v>#DIV/0!</v>
      </c>
      <c r="H76" s="25"/>
    </row>
    <row r="77" spans="1:8" s="5" customFormat="1" ht="30.75" customHeight="1">
      <c r="A77" s="167" t="s">
        <v>270</v>
      </c>
      <c r="B77" s="103"/>
      <c r="C77" s="18">
        <v>2.2999999999999998</v>
      </c>
      <c r="D77" s="40"/>
      <c r="E77" s="40"/>
      <c r="F77" s="14">
        <f t="shared" si="2"/>
        <v>0</v>
      </c>
      <c r="G77" s="185" t="e">
        <f t="shared" si="3"/>
        <v>#DIV/0!</v>
      </c>
      <c r="H77" s="25"/>
    </row>
    <row r="78" spans="1:8" s="5" customFormat="1" ht="31.5" customHeight="1">
      <c r="A78" s="167" t="s">
        <v>271</v>
      </c>
      <c r="B78" s="103"/>
      <c r="C78" s="18">
        <v>1.1000000000000001</v>
      </c>
      <c r="D78" s="40"/>
      <c r="E78" s="40"/>
      <c r="F78" s="14">
        <f t="shared" si="2"/>
        <v>0</v>
      </c>
      <c r="G78" s="185" t="e">
        <f t="shared" si="3"/>
        <v>#DIV/0!</v>
      </c>
      <c r="H78" s="25"/>
    </row>
    <row r="79" spans="1:8" s="5" customFormat="1" ht="48" customHeight="1">
      <c r="A79" s="74" t="s">
        <v>272</v>
      </c>
      <c r="B79" s="103"/>
      <c r="C79" s="18">
        <v>1.7</v>
      </c>
      <c r="D79" s="40"/>
      <c r="E79" s="40"/>
      <c r="F79" s="14">
        <f t="shared" si="2"/>
        <v>0</v>
      </c>
      <c r="G79" s="185" t="e">
        <f t="shared" si="3"/>
        <v>#DIV/0!</v>
      </c>
      <c r="H79" s="25"/>
    </row>
    <row r="80" spans="1:8" s="5" customFormat="1" ht="30" customHeight="1">
      <c r="A80" s="167" t="s">
        <v>273</v>
      </c>
      <c r="B80" s="103"/>
      <c r="C80" s="18">
        <v>2.1</v>
      </c>
      <c r="D80" s="40"/>
      <c r="E80" s="40"/>
      <c r="F80" s="14">
        <f t="shared" si="2"/>
        <v>0</v>
      </c>
      <c r="G80" s="185" t="e">
        <f t="shared" si="3"/>
        <v>#DIV/0!</v>
      </c>
      <c r="H80" s="25"/>
    </row>
    <row r="81" spans="1:8" s="5" customFormat="1" ht="30" customHeight="1">
      <c r="A81" s="167" t="s">
        <v>274</v>
      </c>
      <c r="B81" s="103"/>
      <c r="C81" s="18">
        <v>2.9</v>
      </c>
      <c r="D81" s="40"/>
      <c r="E81" s="40"/>
      <c r="F81" s="14">
        <f t="shared" si="2"/>
        <v>0</v>
      </c>
      <c r="G81" s="185" t="e">
        <f t="shared" si="3"/>
        <v>#DIV/0!</v>
      </c>
      <c r="H81" s="25"/>
    </row>
    <row r="82" spans="1:8" s="5" customFormat="1" ht="27.75" customHeight="1">
      <c r="A82" s="167" t="s">
        <v>405</v>
      </c>
      <c r="B82" s="103"/>
      <c r="C82" s="18">
        <v>2.8</v>
      </c>
      <c r="D82" s="40"/>
      <c r="E82" s="40"/>
      <c r="F82" s="14">
        <f t="shared" si="2"/>
        <v>0</v>
      </c>
      <c r="G82" s="185" t="e">
        <f t="shared" si="3"/>
        <v>#DIV/0!</v>
      </c>
      <c r="H82" s="25"/>
    </row>
    <row r="83" spans="1:8" s="5" customFormat="1" ht="31.5" customHeight="1">
      <c r="A83" s="167" t="s">
        <v>406</v>
      </c>
      <c r="B83" s="103"/>
      <c r="C83" s="18">
        <v>0.2</v>
      </c>
      <c r="D83" s="40"/>
      <c r="E83" s="40"/>
      <c r="F83" s="14">
        <f t="shared" si="2"/>
        <v>0</v>
      </c>
      <c r="G83" s="185" t="e">
        <f t="shared" si="3"/>
        <v>#DIV/0!</v>
      </c>
      <c r="H83" s="25"/>
    </row>
    <row r="84" spans="1:8" s="5" customFormat="1" ht="30" customHeight="1">
      <c r="A84" s="167" t="s">
        <v>407</v>
      </c>
      <c r="B84" s="103"/>
      <c r="C84" s="18">
        <v>0.3</v>
      </c>
      <c r="D84" s="40"/>
      <c r="E84" s="40"/>
      <c r="F84" s="14">
        <f t="shared" si="2"/>
        <v>0</v>
      </c>
      <c r="G84" s="185" t="e">
        <f t="shared" si="3"/>
        <v>#DIV/0!</v>
      </c>
      <c r="H84" s="25"/>
    </row>
    <row r="85" spans="1:8" s="5" customFormat="1" ht="30" customHeight="1">
      <c r="A85" s="167" t="s">
        <v>408</v>
      </c>
      <c r="B85" s="103"/>
      <c r="C85" s="18">
        <v>0.4</v>
      </c>
      <c r="D85" s="40"/>
      <c r="E85" s="40"/>
      <c r="F85" s="14">
        <f t="shared" si="2"/>
        <v>0</v>
      </c>
      <c r="G85" s="185" t="e">
        <f t="shared" si="3"/>
        <v>#DIV/0!</v>
      </c>
      <c r="H85" s="25"/>
    </row>
    <row r="86" spans="1:8" s="5" customFormat="1" ht="30" customHeight="1">
      <c r="A86" s="167" t="s">
        <v>409</v>
      </c>
      <c r="B86" s="103"/>
      <c r="C86" s="18">
        <v>0.6</v>
      </c>
      <c r="D86" s="40"/>
      <c r="E86" s="40"/>
      <c r="F86" s="14">
        <f t="shared" si="2"/>
        <v>0</v>
      </c>
      <c r="G86" s="185" t="e">
        <f t="shared" si="3"/>
        <v>#DIV/0!</v>
      </c>
      <c r="H86" s="25"/>
    </row>
    <row r="87" spans="1:8" s="5" customFormat="1" ht="30" customHeight="1">
      <c r="A87" s="167" t="s">
        <v>410</v>
      </c>
      <c r="B87" s="103"/>
      <c r="C87" s="18">
        <v>1</v>
      </c>
      <c r="D87" s="40"/>
      <c r="E87" s="40"/>
      <c r="F87" s="14">
        <f t="shared" si="2"/>
        <v>0</v>
      </c>
      <c r="G87" s="185" t="e">
        <f t="shared" si="3"/>
        <v>#DIV/0!</v>
      </c>
      <c r="H87" s="25"/>
    </row>
    <row r="88" spans="1:8" s="5" customFormat="1" ht="31.5" customHeight="1">
      <c r="A88" s="167" t="s">
        <v>411</v>
      </c>
      <c r="B88" s="103"/>
      <c r="C88" s="18">
        <v>1</v>
      </c>
      <c r="D88" s="40"/>
      <c r="E88" s="40"/>
      <c r="F88" s="14">
        <f t="shared" si="2"/>
        <v>0</v>
      </c>
      <c r="G88" s="185" t="e">
        <f t="shared" si="3"/>
        <v>#DIV/0!</v>
      </c>
      <c r="H88" s="25"/>
    </row>
    <row r="89" spans="1:8" s="5" customFormat="1" ht="30" customHeight="1">
      <c r="A89" s="167" t="s">
        <v>412</v>
      </c>
      <c r="B89" s="103"/>
      <c r="C89" s="18">
        <v>0.5</v>
      </c>
      <c r="D89" s="40"/>
      <c r="E89" s="40"/>
      <c r="F89" s="14">
        <f t="shared" si="2"/>
        <v>0</v>
      </c>
      <c r="G89" s="185" t="e">
        <f t="shared" si="3"/>
        <v>#DIV/0!</v>
      </c>
      <c r="H89" s="25"/>
    </row>
    <row r="90" spans="1:8" s="5" customFormat="1" ht="26.25" customHeight="1">
      <c r="A90" s="167" t="s">
        <v>413</v>
      </c>
      <c r="B90" s="103"/>
      <c r="C90" s="18">
        <v>0.3</v>
      </c>
      <c r="D90" s="40"/>
      <c r="E90" s="40"/>
      <c r="F90" s="14">
        <f t="shared" si="2"/>
        <v>0</v>
      </c>
      <c r="G90" s="185" t="e">
        <f t="shared" si="3"/>
        <v>#DIV/0!</v>
      </c>
      <c r="H90" s="25"/>
    </row>
    <row r="91" spans="1:8" s="5" customFormat="1" ht="27.75" customHeight="1">
      <c r="A91" s="167" t="s">
        <v>414</v>
      </c>
      <c r="B91" s="103"/>
      <c r="C91" s="18">
        <v>2.2999999999999998</v>
      </c>
      <c r="D91" s="40"/>
      <c r="E91" s="40"/>
      <c r="F91" s="14">
        <f t="shared" si="2"/>
        <v>0</v>
      </c>
      <c r="G91" s="185" t="e">
        <f t="shared" si="3"/>
        <v>#DIV/0!</v>
      </c>
      <c r="H91" s="25"/>
    </row>
    <row r="92" spans="1:8" s="5" customFormat="1" ht="26.25" customHeight="1">
      <c r="A92" s="167" t="s">
        <v>415</v>
      </c>
      <c r="B92" s="103"/>
      <c r="C92" s="18">
        <v>0.7</v>
      </c>
      <c r="D92" s="40"/>
      <c r="E92" s="40"/>
      <c r="F92" s="14">
        <f t="shared" si="2"/>
        <v>0</v>
      </c>
      <c r="G92" s="185" t="e">
        <f t="shared" si="3"/>
        <v>#DIV/0!</v>
      </c>
      <c r="H92" s="25"/>
    </row>
    <row r="93" spans="1:8" s="5" customFormat="1" ht="28.5" customHeight="1">
      <c r="A93" s="167" t="s">
        <v>416</v>
      </c>
      <c r="B93" s="103"/>
      <c r="C93" s="18">
        <v>0.2</v>
      </c>
      <c r="D93" s="40"/>
      <c r="E93" s="40"/>
      <c r="F93" s="14">
        <f t="shared" si="2"/>
        <v>0</v>
      </c>
      <c r="G93" s="185" t="e">
        <f t="shared" si="3"/>
        <v>#DIV/0!</v>
      </c>
      <c r="H93" s="25"/>
    </row>
    <row r="94" spans="1:8" s="5" customFormat="1" ht="25.5" customHeight="1">
      <c r="A94" s="167" t="s">
        <v>417</v>
      </c>
      <c r="B94" s="103"/>
      <c r="C94" s="18">
        <v>4.5</v>
      </c>
      <c r="D94" s="40"/>
      <c r="E94" s="40"/>
      <c r="F94" s="14">
        <f t="shared" si="2"/>
        <v>0</v>
      </c>
      <c r="G94" s="185" t="e">
        <f t="shared" si="3"/>
        <v>#DIV/0!</v>
      </c>
      <c r="H94" s="25"/>
    </row>
    <row r="95" spans="1:8" s="5" customFormat="1" ht="28.5" customHeight="1">
      <c r="A95" s="167" t="s">
        <v>418</v>
      </c>
      <c r="B95" s="103"/>
      <c r="C95" s="18">
        <v>1.2</v>
      </c>
      <c r="D95" s="40"/>
      <c r="E95" s="40"/>
      <c r="F95" s="14">
        <f t="shared" si="2"/>
        <v>0</v>
      </c>
      <c r="G95" s="185" t="e">
        <f t="shared" si="3"/>
        <v>#DIV/0!</v>
      </c>
      <c r="H95" s="25"/>
    </row>
    <row r="96" spans="1:8" s="5" customFormat="1" ht="30" customHeight="1">
      <c r="A96" s="167" t="s">
        <v>419</v>
      </c>
      <c r="B96" s="103"/>
      <c r="C96" s="18">
        <v>0.7</v>
      </c>
      <c r="D96" s="40"/>
      <c r="E96" s="40"/>
      <c r="F96" s="14">
        <f t="shared" si="2"/>
        <v>0</v>
      </c>
      <c r="G96" s="185" t="e">
        <f t="shared" si="3"/>
        <v>#DIV/0!</v>
      </c>
      <c r="H96" s="25"/>
    </row>
    <row r="97" spans="1:8" s="5" customFormat="1" ht="27.75" customHeight="1">
      <c r="A97" s="167" t="s">
        <v>420</v>
      </c>
      <c r="B97" s="103"/>
      <c r="C97" s="18">
        <v>1</v>
      </c>
      <c r="D97" s="40"/>
      <c r="E97" s="40"/>
      <c r="F97" s="14">
        <f t="shared" si="2"/>
        <v>0</v>
      </c>
      <c r="G97" s="185" t="e">
        <f t="shared" si="3"/>
        <v>#DIV/0!</v>
      </c>
      <c r="H97" s="25"/>
    </row>
    <row r="98" spans="1:8" s="5" customFormat="1" ht="27.75" customHeight="1">
      <c r="A98" s="167" t="s">
        <v>421</v>
      </c>
      <c r="B98" s="103"/>
      <c r="C98" s="18">
        <v>14.7</v>
      </c>
      <c r="D98" s="40"/>
      <c r="E98" s="40"/>
      <c r="F98" s="14">
        <f t="shared" si="2"/>
        <v>0</v>
      </c>
      <c r="G98" s="185" t="e">
        <f t="shared" si="3"/>
        <v>#DIV/0!</v>
      </c>
      <c r="H98" s="25"/>
    </row>
    <row r="99" spans="1:8" s="5" customFormat="1" ht="26.25" customHeight="1">
      <c r="A99" s="74" t="s">
        <v>422</v>
      </c>
      <c r="B99" s="103"/>
      <c r="C99" s="18">
        <v>17.399999999999999</v>
      </c>
      <c r="D99" s="40"/>
      <c r="E99" s="40"/>
      <c r="F99" s="14">
        <f t="shared" si="2"/>
        <v>0</v>
      </c>
      <c r="G99" s="185" t="e">
        <f t="shared" si="3"/>
        <v>#DIV/0!</v>
      </c>
      <c r="H99" s="25"/>
    </row>
    <row r="100" spans="1:8" s="5" customFormat="1" ht="30.75" customHeight="1">
      <c r="A100" s="74" t="s">
        <v>423</v>
      </c>
      <c r="B100" s="103"/>
      <c r="C100" s="18">
        <v>18.8</v>
      </c>
      <c r="D100" s="40"/>
      <c r="E100" s="40"/>
      <c r="F100" s="14">
        <f t="shared" si="2"/>
        <v>0</v>
      </c>
      <c r="G100" s="185" t="e">
        <f t="shared" si="3"/>
        <v>#DIV/0!</v>
      </c>
      <c r="H100" s="25"/>
    </row>
    <row r="101" spans="1:8" s="5" customFormat="1" ht="31.5" customHeight="1">
      <c r="A101" s="74" t="s">
        <v>424</v>
      </c>
      <c r="B101" s="103"/>
      <c r="C101" s="18">
        <v>6.9</v>
      </c>
      <c r="D101" s="40"/>
      <c r="E101" s="40"/>
      <c r="F101" s="14">
        <f t="shared" si="2"/>
        <v>0</v>
      </c>
      <c r="G101" s="185" t="e">
        <f t="shared" si="3"/>
        <v>#DIV/0!</v>
      </c>
      <c r="H101" s="25"/>
    </row>
    <row r="102" spans="1:8" s="5" customFormat="1" ht="28.5" customHeight="1">
      <c r="A102" s="74" t="s">
        <v>425</v>
      </c>
      <c r="B102" s="103"/>
      <c r="C102" s="18">
        <v>29.8</v>
      </c>
      <c r="D102" s="40"/>
      <c r="E102" s="40"/>
      <c r="F102" s="14">
        <f t="shared" si="2"/>
        <v>0</v>
      </c>
      <c r="G102" s="185" t="e">
        <f t="shared" si="3"/>
        <v>#DIV/0!</v>
      </c>
      <c r="H102" s="25"/>
    </row>
    <row r="103" spans="1:8" s="5" customFormat="1" ht="38.25" customHeight="1">
      <c r="A103" s="74" t="s">
        <v>426</v>
      </c>
      <c r="B103" s="103"/>
      <c r="C103" s="18">
        <v>24.8</v>
      </c>
      <c r="D103" s="40"/>
      <c r="E103" s="40"/>
      <c r="F103" s="14">
        <f t="shared" si="2"/>
        <v>0</v>
      </c>
      <c r="G103" s="185" t="e">
        <f t="shared" si="3"/>
        <v>#DIV/0!</v>
      </c>
      <c r="H103" s="25"/>
    </row>
    <row r="104" spans="1:8" s="5" customFormat="1" ht="44.25" customHeight="1">
      <c r="A104" s="74" t="s">
        <v>427</v>
      </c>
      <c r="B104" s="103"/>
      <c r="C104" s="18">
        <v>10.4</v>
      </c>
      <c r="D104" s="40"/>
      <c r="E104" s="18"/>
      <c r="F104" s="14">
        <f t="shared" si="2"/>
        <v>0</v>
      </c>
      <c r="G104" s="185" t="e">
        <f t="shared" si="3"/>
        <v>#DIV/0!</v>
      </c>
      <c r="H104" s="25"/>
    </row>
    <row r="105" spans="1:8" s="5" customFormat="1" ht="28.5" customHeight="1">
      <c r="A105" s="74" t="s">
        <v>428</v>
      </c>
      <c r="B105" s="103"/>
      <c r="C105" s="18">
        <v>7</v>
      </c>
      <c r="D105" s="40"/>
      <c r="E105" s="18"/>
      <c r="F105" s="14">
        <f t="shared" si="2"/>
        <v>0</v>
      </c>
      <c r="G105" s="185" t="e">
        <f t="shared" si="3"/>
        <v>#DIV/0!</v>
      </c>
      <c r="H105" s="25"/>
    </row>
    <row r="106" spans="1:8" s="5" customFormat="1" ht="41.25" customHeight="1">
      <c r="A106" s="74" t="s">
        <v>429</v>
      </c>
      <c r="B106" s="103"/>
      <c r="C106" s="18">
        <v>2.9</v>
      </c>
      <c r="D106" s="40"/>
      <c r="E106" s="18"/>
      <c r="F106" s="14">
        <f t="shared" si="2"/>
        <v>0</v>
      </c>
      <c r="G106" s="185" t="e">
        <f t="shared" si="3"/>
        <v>#DIV/0!</v>
      </c>
      <c r="H106" s="25"/>
    </row>
    <row r="107" spans="1:8" s="5" customFormat="1" ht="42.75" customHeight="1">
      <c r="A107" s="74" t="s">
        <v>430</v>
      </c>
      <c r="B107" s="103"/>
      <c r="C107" s="18">
        <v>11</v>
      </c>
      <c r="D107" s="40"/>
      <c r="E107" s="18"/>
      <c r="F107" s="14">
        <f t="shared" si="2"/>
        <v>0</v>
      </c>
      <c r="G107" s="185" t="e">
        <f t="shared" si="3"/>
        <v>#DIV/0!</v>
      </c>
      <c r="H107" s="25"/>
    </row>
    <row r="108" spans="1:8" s="5" customFormat="1" ht="28.5" customHeight="1">
      <c r="A108" s="74" t="s">
        <v>431</v>
      </c>
      <c r="B108" s="103"/>
      <c r="C108" s="18">
        <v>1.6</v>
      </c>
      <c r="D108" s="40"/>
      <c r="E108" s="18"/>
      <c r="F108" s="14">
        <f t="shared" si="2"/>
        <v>0</v>
      </c>
      <c r="G108" s="185" t="e">
        <f t="shared" si="3"/>
        <v>#DIV/0!</v>
      </c>
      <c r="H108" s="25"/>
    </row>
    <row r="109" spans="1:8" s="5" customFormat="1" ht="30.75" customHeight="1">
      <c r="A109" s="74" t="s">
        <v>432</v>
      </c>
      <c r="B109" s="103"/>
      <c r="C109" s="18">
        <v>4.8</v>
      </c>
      <c r="D109" s="40"/>
      <c r="E109" s="18"/>
      <c r="F109" s="14">
        <f t="shared" si="2"/>
        <v>0</v>
      </c>
      <c r="G109" s="185" t="e">
        <f t="shared" si="3"/>
        <v>#DIV/0!</v>
      </c>
      <c r="H109" s="25"/>
    </row>
    <row r="110" spans="1:8" s="5" customFormat="1" ht="23.25" customHeight="1">
      <c r="A110" s="211" t="s">
        <v>369</v>
      </c>
      <c r="B110" s="103"/>
      <c r="C110" s="18"/>
      <c r="D110" s="40"/>
      <c r="E110" s="18">
        <v>97.9</v>
      </c>
      <c r="F110" s="14">
        <f t="shared" si="2"/>
        <v>97.9</v>
      </c>
      <c r="G110" s="185" t="e">
        <f t="shared" si="3"/>
        <v>#DIV/0!</v>
      </c>
      <c r="H110" s="25"/>
    </row>
    <row r="111" spans="1:8" s="5" customFormat="1" ht="39" customHeight="1">
      <c r="A111" s="210" t="s">
        <v>370</v>
      </c>
      <c r="B111" s="103"/>
      <c r="C111" s="18"/>
      <c r="D111" s="40"/>
      <c r="E111" s="18">
        <v>27.2</v>
      </c>
      <c r="F111" s="14">
        <f t="shared" si="2"/>
        <v>27.2</v>
      </c>
      <c r="G111" s="185" t="e">
        <f t="shared" si="3"/>
        <v>#DIV/0!</v>
      </c>
      <c r="H111" s="25"/>
    </row>
    <row r="112" spans="1:8" s="5" customFormat="1" ht="26.25" customHeight="1">
      <c r="A112" s="197" t="s">
        <v>324</v>
      </c>
      <c r="B112" s="103"/>
      <c r="C112" s="18"/>
      <c r="D112" s="40"/>
      <c r="E112" s="18">
        <v>14.5</v>
      </c>
      <c r="F112" s="14">
        <f t="shared" si="2"/>
        <v>14.5</v>
      </c>
      <c r="G112" s="185" t="e">
        <f t="shared" si="3"/>
        <v>#DIV/0!</v>
      </c>
      <c r="H112" s="25"/>
    </row>
    <row r="113" spans="1:8" s="5" customFormat="1" ht="26.25" customHeight="1">
      <c r="A113" s="211" t="s">
        <v>325</v>
      </c>
      <c r="B113" s="103"/>
      <c r="C113" s="18"/>
      <c r="D113" s="40"/>
      <c r="E113" s="18">
        <v>21.8</v>
      </c>
      <c r="F113" s="14">
        <f t="shared" si="2"/>
        <v>21.8</v>
      </c>
      <c r="G113" s="185" t="e">
        <f t="shared" si="3"/>
        <v>#DIV/0!</v>
      </c>
      <c r="H113" s="25"/>
    </row>
    <row r="114" spans="1:8" s="5" customFormat="1" ht="26.25" customHeight="1">
      <c r="A114" s="211" t="s">
        <v>326</v>
      </c>
      <c r="B114" s="103"/>
      <c r="C114" s="18"/>
      <c r="D114" s="40"/>
      <c r="E114" s="18">
        <v>5.7</v>
      </c>
      <c r="F114" s="14">
        <f t="shared" si="2"/>
        <v>5.7</v>
      </c>
      <c r="G114" s="185" t="e">
        <f t="shared" si="3"/>
        <v>#DIV/0!</v>
      </c>
      <c r="H114" s="25"/>
    </row>
    <row r="115" spans="1:8" s="5" customFormat="1" ht="26.25" customHeight="1">
      <c r="A115" s="211" t="s">
        <v>327</v>
      </c>
      <c r="B115" s="103"/>
      <c r="C115" s="18"/>
      <c r="D115" s="40"/>
      <c r="E115" s="18">
        <v>2.9</v>
      </c>
      <c r="F115" s="14">
        <f t="shared" si="2"/>
        <v>2.9</v>
      </c>
      <c r="G115" s="185" t="e">
        <f t="shared" si="3"/>
        <v>#DIV/0!</v>
      </c>
      <c r="H115" s="25"/>
    </row>
    <row r="116" spans="1:8" s="5" customFormat="1" ht="26.25" customHeight="1">
      <c r="A116" s="210" t="s">
        <v>328</v>
      </c>
      <c r="B116" s="103"/>
      <c r="C116" s="18"/>
      <c r="D116" s="40"/>
      <c r="E116" s="18">
        <v>1.3</v>
      </c>
      <c r="F116" s="14">
        <f t="shared" si="2"/>
        <v>1.3</v>
      </c>
      <c r="G116" s="185" t="e">
        <f t="shared" si="3"/>
        <v>#DIV/0!</v>
      </c>
      <c r="H116" s="25"/>
    </row>
    <row r="117" spans="1:8" s="5" customFormat="1" ht="26.25" customHeight="1">
      <c r="A117" s="211" t="s">
        <v>329</v>
      </c>
      <c r="B117" s="103"/>
      <c r="C117" s="18"/>
      <c r="D117" s="40"/>
      <c r="E117" s="18">
        <v>59.9</v>
      </c>
      <c r="F117" s="14">
        <f t="shared" si="2"/>
        <v>59.9</v>
      </c>
      <c r="G117" s="185" t="e">
        <f t="shared" si="3"/>
        <v>#DIV/0!</v>
      </c>
      <c r="H117" s="25"/>
    </row>
    <row r="118" spans="1:8" s="5" customFormat="1" ht="38.25" customHeight="1">
      <c r="A118" s="210" t="s">
        <v>330</v>
      </c>
      <c r="B118" s="103"/>
      <c r="C118" s="18"/>
      <c r="D118" s="40"/>
      <c r="E118" s="18">
        <v>29.4</v>
      </c>
      <c r="F118" s="14">
        <f t="shared" si="2"/>
        <v>29.4</v>
      </c>
      <c r="G118" s="185" t="e">
        <f t="shared" si="3"/>
        <v>#DIV/0!</v>
      </c>
      <c r="H118" s="25"/>
    </row>
    <row r="119" spans="1:8" s="5" customFormat="1" ht="38.25" customHeight="1">
      <c r="A119" s="210" t="s">
        <v>331</v>
      </c>
      <c r="B119" s="103"/>
      <c r="C119" s="18"/>
      <c r="D119" s="40"/>
      <c r="E119" s="18">
        <v>4.9000000000000004</v>
      </c>
      <c r="F119" s="14">
        <f t="shared" si="2"/>
        <v>4.9000000000000004</v>
      </c>
      <c r="G119" s="185" t="e">
        <f t="shared" si="3"/>
        <v>#DIV/0!</v>
      </c>
      <c r="H119" s="25"/>
    </row>
    <row r="120" spans="1:8" s="5" customFormat="1" ht="24" customHeight="1">
      <c r="A120" s="210" t="s">
        <v>332</v>
      </c>
      <c r="B120" s="103"/>
      <c r="C120" s="18"/>
      <c r="D120" s="40"/>
      <c r="E120" s="18">
        <v>20.9</v>
      </c>
      <c r="F120" s="14">
        <f t="shared" si="2"/>
        <v>20.9</v>
      </c>
      <c r="G120" s="185" t="e">
        <f t="shared" si="3"/>
        <v>#DIV/0!</v>
      </c>
      <c r="H120" s="25"/>
    </row>
    <row r="121" spans="1:8" s="5" customFormat="1" ht="26.25" customHeight="1">
      <c r="A121" s="211" t="s">
        <v>333</v>
      </c>
      <c r="B121" s="103"/>
      <c r="C121" s="18"/>
      <c r="D121" s="40"/>
      <c r="E121" s="18">
        <v>16.3</v>
      </c>
      <c r="F121" s="14">
        <f t="shared" si="2"/>
        <v>16.3</v>
      </c>
      <c r="G121" s="185" t="e">
        <f t="shared" si="3"/>
        <v>#DIV/0!</v>
      </c>
      <c r="H121" s="25"/>
    </row>
    <row r="122" spans="1:8" s="5" customFormat="1" ht="26.25" customHeight="1">
      <c r="A122" s="211" t="s">
        <v>334</v>
      </c>
      <c r="B122" s="103"/>
      <c r="C122" s="18"/>
      <c r="D122" s="40"/>
      <c r="E122" s="18">
        <v>18.8</v>
      </c>
      <c r="F122" s="14">
        <f t="shared" si="2"/>
        <v>18.8</v>
      </c>
      <c r="G122" s="185" t="e">
        <f t="shared" si="3"/>
        <v>#DIV/0!</v>
      </c>
      <c r="H122" s="25"/>
    </row>
    <row r="123" spans="1:8" s="5" customFormat="1" ht="41.25" customHeight="1">
      <c r="A123" s="210" t="s">
        <v>335</v>
      </c>
      <c r="B123" s="103"/>
      <c r="C123" s="18"/>
      <c r="D123" s="40"/>
      <c r="E123" s="18">
        <v>33</v>
      </c>
      <c r="F123" s="14">
        <f t="shared" si="2"/>
        <v>33</v>
      </c>
      <c r="G123" s="185" t="e">
        <f t="shared" si="3"/>
        <v>#DIV/0!</v>
      </c>
      <c r="H123" s="25"/>
    </row>
    <row r="124" spans="1:8" s="5" customFormat="1" ht="26.25" customHeight="1">
      <c r="A124" s="211" t="s">
        <v>336</v>
      </c>
      <c r="B124" s="103"/>
      <c r="C124" s="18"/>
      <c r="D124" s="40"/>
      <c r="E124" s="18">
        <v>31.5</v>
      </c>
      <c r="F124" s="14">
        <f t="shared" si="2"/>
        <v>31.5</v>
      </c>
      <c r="G124" s="185" t="e">
        <f t="shared" si="3"/>
        <v>#DIV/0!</v>
      </c>
      <c r="H124" s="25"/>
    </row>
    <row r="125" spans="1:8" s="5" customFormat="1" ht="26.25" customHeight="1">
      <c r="A125" s="211" t="s">
        <v>337</v>
      </c>
      <c r="B125" s="103"/>
      <c r="C125" s="18"/>
      <c r="D125" s="40"/>
      <c r="E125" s="18">
        <v>13</v>
      </c>
      <c r="F125" s="14">
        <f t="shared" si="2"/>
        <v>13</v>
      </c>
      <c r="G125" s="185" t="e">
        <f t="shared" si="3"/>
        <v>#DIV/0!</v>
      </c>
      <c r="H125" s="25"/>
    </row>
    <row r="126" spans="1:8" s="5" customFormat="1" ht="41.25" customHeight="1">
      <c r="A126" s="210" t="s">
        <v>338</v>
      </c>
      <c r="B126" s="103"/>
      <c r="C126" s="18"/>
      <c r="D126" s="40"/>
      <c r="E126" s="18">
        <v>3.7</v>
      </c>
      <c r="F126" s="14">
        <f t="shared" si="2"/>
        <v>3.7</v>
      </c>
      <c r="G126" s="185" t="e">
        <f t="shared" si="3"/>
        <v>#DIV/0!</v>
      </c>
      <c r="H126" s="25"/>
    </row>
    <row r="127" spans="1:8" s="5" customFormat="1" ht="26.25" customHeight="1">
      <c r="A127" s="210" t="s">
        <v>339</v>
      </c>
      <c r="B127" s="103"/>
      <c r="C127" s="18"/>
      <c r="D127" s="40"/>
      <c r="E127" s="18">
        <v>7.7</v>
      </c>
      <c r="F127" s="14">
        <f t="shared" si="2"/>
        <v>7.7</v>
      </c>
      <c r="G127" s="185" t="e">
        <f t="shared" si="3"/>
        <v>#DIV/0!</v>
      </c>
      <c r="H127" s="25"/>
    </row>
    <row r="128" spans="1:8" s="5" customFormat="1" ht="26.25" customHeight="1">
      <c r="A128" s="210" t="s">
        <v>340</v>
      </c>
      <c r="B128" s="103"/>
      <c r="C128" s="18"/>
      <c r="D128" s="40"/>
      <c r="E128" s="18">
        <v>10.7</v>
      </c>
      <c r="F128" s="14">
        <f t="shared" si="2"/>
        <v>10.7</v>
      </c>
      <c r="G128" s="185" t="e">
        <f t="shared" si="3"/>
        <v>#DIV/0!</v>
      </c>
      <c r="H128" s="25"/>
    </row>
    <row r="129" spans="1:8" s="5" customFormat="1" ht="40.5" customHeight="1">
      <c r="A129" s="210" t="s">
        <v>341</v>
      </c>
      <c r="B129" s="103"/>
      <c r="C129" s="18"/>
      <c r="D129" s="40"/>
      <c r="E129" s="18">
        <v>8.1</v>
      </c>
      <c r="F129" s="14">
        <f t="shared" si="2"/>
        <v>8.1</v>
      </c>
      <c r="G129" s="185" t="e">
        <f t="shared" si="3"/>
        <v>#DIV/0!</v>
      </c>
      <c r="H129" s="25"/>
    </row>
    <row r="130" spans="1:8" s="5" customFormat="1" ht="40.5" customHeight="1">
      <c r="A130" s="210" t="s">
        <v>342</v>
      </c>
      <c r="B130" s="103"/>
      <c r="C130" s="18"/>
      <c r="D130" s="40"/>
      <c r="E130" s="18">
        <v>7.8</v>
      </c>
      <c r="F130" s="14">
        <f t="shared" si="2"/>
        <v>7.8</v>
      </c>
      <c r="G130" s="185" t="e">
        <f t="shared" si="3"/>
        <v>#DIV/0!</v>
      </c>
      <c r="H130" s="25"/>
    </row>
    <row r="131" spans="1:8" s="5" customFormat="1" ht="26.25" customHeight="1">
      <c r="A131" s="211" t="s">
        <v>343</v>
      </c>
      <c r="B131" s="103"/>
      <c r="C131" s="18"/>
      <c r="D131" s="40"/>
      <c r="E131" s="18">
        <v>6</v>
      </c>
      <c r="F131" s="14">
        <f t="shared" si="2"/>
        <v>6</v>
      </c>
      <c r="G131" s="185" t="e">
        <f t="shared" si="3"/>
        <v>#DIV/0!</v>
      </c>
      <c r="H131" s="25"/>
    </row>
    <row r="132" spans="1:8" s="5" customFormat="1" ht="26.25" customHeight="1">
      <c r="A132" s="211" t="s">
        <v>344</v>
      </c>
      <c r="B132" s="103"/>
      <c r="C132" s="18"/>
      <c r="D132" s="40"/>
      <c r="E132" s="18">
        <v>1.7</v>
      </c>
      <c r="F132" s="14">
        <f t="shared" si="2"/>
        <v>1.7</v>
      </c>
      <c r="G132" s="185" t="e">
        <f t="shared" si="3"/>
        <v>#DIV/0!</v>
      </c>
      <c r="H132" s="25"/>
    </row>
    <row r="133" spans="1:8" s="5" customFormat="1" ht="26.25" customHeight="1">
      <c r="A133" s="211" t="s">
        <v>345</v>
      </c>
      <c r="B133" s="103"/>
      <c r="C133" s="18"/>
      <c r="D133" s="40"/>
      <c r="E133" s="18">
        <v>7.5</v>
      </c>
      <c r="F133" s="14">
        <f t="shared" si="2"/>
        <v>7.5</v>
      </c>
      <c r="G133" s="185" t="e">
        <f t="shared" si="3"/>
        <v>#DIV/0!</v>
      </c>
      <c r="H133" s="25"/>
    </row>
    <row r="134" spans="1:8" s="5" customFormat="1" ht="26.25" customHeight="1">
      <c r="A134" s="211" t="s">
        <v>346</v>
      </c>
      <c r="B134" s="103"/>
      <c r="C134" s="18"/>
      <c r="D134" s="40"/>
      <c r="E134" s="18">
        <v>4</v>
      </c>
      <c r="F134" s="14">
        <f t="shared" si="2"/>
        <v>4</v>
      </c>
      <c r="G134" s="185" t="e">
        <f t="shared" si="3"/>
        <v>#DIV/0!</v>
      </c>
      <c r="H134" s="25"/>
    </row>
    <row r="135" spans="1:8" s="5" customFormat="1" ht="26.25" customHeight="1">
      <c r="A135" s="211" t="s">
        <v>347</v>
      </c>
      <c r="B135" s="103"/>
      <c r="C135" s="18"/>
      <c r="D135" s="40"/>
      <c r="E135" s="18">
        <v>1.9</v>
      </c>
      <c r="F135" s="14">
        <f t="shared" ref="F135:F195" si="4">E135-D135</f>
        <v>1.9</v>
      </c>
      <c r="G135" s="185" t="e">
        <f t="shared" ref="G135:G195" si="5">(E135/D135)*100</f>
        <v>#DIV/0!</v>
      </c>
      <c r="H135" s="25"/>
    </row>
    <row r="136" spans="1:8" s="5" customFormat="1" ht="26.25" customHeight="1">
      <c r="A136" s="211" t="s">
        <v>348</v>
      </c>
      <c r="B136" s="103"/>
      <c r="C136" s="18"/>
      <c r="D136" s="40"/>
      <c r="E136" s="18">
        <v>3.6</v>
      </c>
      <c r="F136" s="14">
        <f t="shared" si="4"/>
        <v>3.6</v>
      </c>
      <c r="G136" s="185" t="e">
        <f t="shared" si="5"/>
        <v>#DIV/0!</v>
      </c>
      <c r="H136" s="25"/>
    </row>
    <row r="137" spans="1:8" s="5" customFormat="1" ht="26.25" customHeight="1">
      <c r="A137" s="211" t="s">
        <v>349</v>
      </c>
      <c r="B137" s="103"/>
      <c r="C137" s="18"/>
      <c r="D137" s="40"/>
      <c r="E137" s="18">
        <v>0.1</v>
      </c>
      <c r="F137" s="14">
        <f t="shared" si="4"/>
        <v>0.1</v>
      </c>
      <c r="G137" s="185" t="e">
        <f t="shared" si="5"/>
        <v>#DIV/0!</v>
      </c>
      <c r="H137" s="25"/>
    </row>
    <row r="138" spans="1:8" s="5" customFormat="1" ht="26.25" customHeight="1">
      <c r="A138" s="211" t="s">
        <v>350</v>
      </c>
      <c r="B138" s="103"/>
      <c r="C138" s="18"/>
      <c r="D138" s="40"/>
      <c r="E138" s="18">
        <v>0.1</v>
      </c>
      <c r="F138" s="14">
        <f t="shared" si="4"/>
        <v>0.1</v>
      </c>
      <c r="G138" s="185" t="e">
        <f t="shared" si="5"/>
        <v>#DIV/0!</v>
      </c>
      <c r="H138" s="25"/>
    </row>
    <row r="139" spans="1:8" s="5" customFormat="1" ht="26.25" customHeight="1">
      <c r="A139" s="211" t="s">
        <v>351</v>
      </c>
      <c r="B139" s="103"/>
      <c r="C139" s="18"/>
      <c r="D139" s="40"/>
      <c r="E139" s="18">
        <v>0.1</v>
      </c>
      <c r="F139" s="14">
        <f t="shared" si="4"/>
        <v>0.1</v>
      </c>
      <c r="G139" s="185" t="e">
        <f t="shared" si="5"/>
        <v>#DIV/0!</v>
      </c>
      <c r="H139" s="25"/>
    </row>
    <row r="140" spans="1:8" s="5" customFormat="1" ht="26.25" customHeight="1">
      <c r="A140" s="211" t="s">
        <v>352</v>
      </c>
      <c r="B140" s="103"/>
      <c r="C140" s="18"/>
      <c r="D140" s="40"/>
      <c r="E140" s="18">
        <v>0.7</v>
      </c>
      <c r="F140" s="14">
        <f t="shared" si="4"/>
        <v>0.7</v>
      </c>
      <c r="G140" s="185" t="e">
        <f t="shared" si="5"/>
        <v>#DIV/0!</v>
      </c>
      <c r="H140" s="25"/>
    </row>
    <row r="141" spans="1:8" s="5" customFormat="1" ht="26.25" customHeight="1">
      <c r="A141" s="211" t="s">
        <v>353</v>
      </c>
      <c r="B141" s="103"/>
      <c r="C141" s="18"/>
      <c r="D141" s="40"/>
      <c r="E141" s="18">
        <v>0.2</v>
      </c>
      <c r="F141" s="14">
        <f t="shared" si="4"/>
        <v>0.2</v>
      </c>
      <c r="G141" s="185" t="e">
        <f t="shared" si="5"/>
        <v>#DIV/0!</v>
      </c>
      <c r="H141" s="25"/>
    </row>
    <row r="142" spans="1:8" s="5" customFormat="1" ht="63.75" customHeight="1">
      <c r="A142" s="210" t="s">
        <v>354</v>
      </c>
      <c r="B142" s="103"/>
      <c r="C142" s="18"/>
      <c r="D142" s="40"/>
      <c r="E142" s="18">
        <v>4.7</v>
      </c>
      <c r="F142" s="14">
        <f t="shared" si="4"/>
        <v>4.7</v>
      </c>
      <c r="G142" s="185" t="e">
        <f t="shared" si="5"/>
        <v>#DIV/0!</v>
      </c>
      <c r="H142" s="25"/>
    </row>
    <row r="143" spans="1:8" s="5" customFormat="1" ht="26.25" customHeight="1">
      <c r="A143" s="211" t="s">
        <v>355</v>
      </c>
      <c r="B143" s="103"/>
      <c r="C143" s="18"/>
      <c r="D143" s="40"/>
      <c r="E143" s="18">
        <v>4</v>
      </c>
      <c r="F143" s="14">
        <f t="shared" si="4"/>
        <v>4</v>
      </c>
      <c r="G143" s="185" t="e">
        <f t="shared" si="5"/>
        <v>#DIV/0!</v>
      </c>
      <c r="H143" s="25"/>
    </row>
    <row r="144" spans="1:8" s="5" customFormat="1" ht="29.25" customHeight="1">
      <c r="A144" s="210" t="s">
        <v>356</v>
      </c>
      <c r="B144" s="103"/>
      <c r="C144" s="18"/>
      <c r="D144" s="40"/>
      <c r="E144" s="18">
        <v>0.8</v>
      </c>
      <c r="F144" s="14">
        <f t="shared" si="4"/>
        <v>0.8</v>
      </c>
      <c r="G144" s="185" t="e">
        <f t="shared" si="5"/>
        <v>#DIV/0!</v>
      </c>
      <c r="H144" s="25"/>
    </row>
    <row r="145" spans="1:8" s="5" customFormat="1" ht="38.25" customHeight="1">
      <c r="A145" s="210" t="s">
        <v>357</v>
      </c>
      <c r="B145" s="103"/>
      <c r="C145" s="18"/>
      <c r="D145" s="40"/>
      <c r="E145" s="18">
        <v>2.2000000000000002</v>
      </c>
      <c r="F145" s="14">
        <f t="shared" si="4"/>
        <v>2.2000000000000002</v>
      </c>
      <c r="G145" s="185" t="e">
        <f t="shared" si="5"/>
        <v>#DIV/0!</v>
      </c>
      <c r="H145" s="25"/>
    </row>
    <row r="146" spans="1:8" s="5" customFormat="1" ht="26.25" customHeight="1">
      <c r="A146" s="210" t="s">
        <v>358</v>
      </c>
      <c r="B146" s="103"/>
      <c r="C146" s="18"/>
      <c r="D146" s="40"/>
      <c r="E146" s="18">
        <v>1</v>
      </c>
      <c r="F146" s="14">
        <f t="shared" si="4"/>
        <v>1</v>
      </c>
      <c r="G146" s="185" t="e">
        <f t="shared" si="5"/>
        <v>#DIV/0!</v>
      </c>
      <c r="H146" s="25"/>
    </row>
    <row r="147" spans="1:8" s="5" customFormat="1" ht="26.25" customHeight="1">
      <c r="A147" s="211" t="s">
        <v>359</v>
      </c>
      <c r="B147" s="103"/>
      <c r="C147" s="18"/>
      <c r="D147" s="40"/>
      <c r="E147" s="18">
        <v>1</v>
      </c>
      <c r="F147" s="14">
        <f t="shared" si="4"/>
        <v>1</v>
      </c>
      <c r="G147" s="185" t="e">
        <f t="shared" si="5"/>
        <v>#DIV/0!</v>
      </c>
      <c r="H147" s="25"/>
    </row>
    <row r="148" spans="1:8" s="5" customFormat="1" ht="26.25" customHeight="1">
      <c r="A148" s="211" t="s">
        <v>360</v>
      </c>
      <c r="B148" s="103"/>
      <c r="C148" s="18"/>
      <c r="D148" s="40"/>
      <c r="E148" s="18">
        <v>0.9</v>
      </c>
      <c r="F148" s="14">
        <f t="shared" si="4"/>
        <v>0.9</v>
      </c>
      <c r="G148" s="185" t="e">
        <f t="shared" si="5"/>
        <v>#DIV/0!</v>
      </c>
      <c r="H148" s="25"/>
    </row>
    <row r="149" spans="1:8" s="5" customFormat="1" ht="26.25" customHeight="1">
      <c r="A149" s="211" t="s">
        <v>361</v>
      </c>
      <c r="B149" s="103"/>
      <c r="C149" s="18"/>
      <c r="D149" s="40"/>
      <c r="E149" s="18">
        <v>0.5</v>
      </c>
      <c r="F149" s="14">
        <f t="shared" si="4"/>
        <v>0.5</v>
      </c>
      <c r="G149" s="185" t="e">
        <f t="shared" si="5"/>
        <v>#DIV/0!</v>
      </c>
      <c r="H149" s="25"/>
    </row>
    <row r="150" spans="1:8" s="5" customFormat="1" ht="26.25" customHeight="1">
      <c r="A150" s="210" t="s">
        <v>362</v>
      </c>
      <c r="B150" s="103"/>
      <c r="C150" s="18"/>
      <c r="D150" s="40"/>
      <c r="E150" s="18">
        <v>0.4</v>
      </c>
      <c r="F150" s="14">
        <f t="shared" si="4"/>
        <v>0.4</v>
      </c>
      <c r="G150" s="185" t="e">
        <f t="shared" si="5"/>
        <v>#DIV/0!</v>
      </c>
      <c r="H150" s="25"/>
    </row>
    <row r="151" spans="1:8" s="5" customFormat="1" ht="26.25" customHeight="1">
      <c r="A151" s="211" t="s">
        <v>363</v>
      </c>
      <c r="B151" s="103"/>
      <c r="C151" s="18"/>
      <c r="D151" s="40"/>
      <c r="E151" s="18">
        <v>0.2</v>
      </c>
      <c r="F151" s="14">
        <f t="shared" si="4"/>
        <v>0.2</v>
      </c>
      <c r="G151" s="185" t="e">
        <f t="shared" si="5"/>
        <v>#DIV/0!</v>
      </c>
      <c r="H151" s="25"/>
    </row>
    <row r="152" spans="1:8" s="5" customFormat="1" ht="26.25" customHeight="1">
      <c r="A152" s="211" t="s">
        <v>364</v>
      </c>
      <c r="B152" s="103"/>
      <c r="C152" s="18"/>
      <c r="D152" s="40"/>
      <c r="E152" s="18">
        <v>0.3</v>
      </c>
      <c r="F152" s="14">
        <f t="shared" si="4"/>
        <v>0.3</v>
      </c>
      <c r="G152" s="185" t="e">
        <f t="shared" si="5"/>
        <v>#DIV/0!</v>
      </c>
      <c r="H152" s="25"/>
    </row>
    <row r="153" spans="1:8" s="5" customFormat="1" ht="26.25" customHeight="1">
      <c r="A153" s="211" t="s">
        <v>365</v>
      </c>
      <c r="B153" s="103"/>
      <c r="C153" s="18"/>
      <c r="D153" s="40"/>
      <c r="E153" s="18">
        <v>0.2</v>
      </c>
      <c r="F153" s="14">
        <f t="shared" si="4"/>
        <v>0.2</v>
      </c>
      <c r="G153" s="185" t="e">
        <f t="shared" si="5"/>
        <v>#DIV/0!</v>
      </c>
      <c r="H153" s="25"/>
    </row>
    <row r="154" spans="1:8" s="5" customFormat="1" ht="26.25" customHeight="1">
      <c r="A154" s="211" t="s">
        <v>366</v>
      </c>
      <c r="B154" s="103"/>
      <c r="C154" s="18"/>
      <c r="D154" s="40"/>
      <c r="E154" s="18">
        <v>0.1</v>
      </c>
      <c r="F154" s="14">
        <f t="shared" si="4"/>
        <v>0.1</v>
      </c>
      <c r="G154" s="185" t="e">
        <f t="shared" si="5"/>
        <v>#DIV/0!</v>
      </c>
      <c r="H154" s="25"/>
    </row>
    <row r="155" spans="1:8" s="5" customFormat="1" ht="27.75" customHeight="1">
      <c r="A155" s="211" t="s">
        <v>367</v>
      </c>
      <c r="B155" s="103"/>
      <c r="C155" s="18"/>
      <c r="D155" s="40"/>
      <c r="E155" s="18">
        <v>0.1</v>
      </c>
      <c r="F155" s="14">
        <f t="shared" si="4"/>
        <v>0.1</v>
      </c>
      <c r="G155" s="185" t="e">
        <f t="shared" si="5"/>
        <v>#DIV/0!</v>
      </c>
      <c r="H155" s="25"/>
    </row>
    <row r="156" spans="1:8" s="5" customFormat="1" ht="26.25" customHeight="1">
      <c r="A156" s="211" t="s">
        <v>368</v>
      </c>
      <c r="B156" s="103"/>
      <c r="C156" s="18"/>
      <c r="D156" s="40"/>
      <c r="E156" s="18">
        <v>0.7</v>
      </c>
      <c r="F156" s="14">
        <f t="shared" si="4"/>
        <v>0.7</v>
      </c>
      <c r="G156" s="185" t="e">
        <f t="shared" si="5"/>
        <v>#DIV/0!</v>
      </c>
      <c r="H156" s="25"/>
    </row>
    <row r="157" spans="1:8" s="5" customFormat="1" ht="26.25" customHeight="1">
      <c r="A157" s="74" t="s">
        <v>465</v>
      </c>
      <c r="B157" s="103"/>
      <c r="C157" s="18"/>
      <c r="D157" s="40"/>
      <c r="E157" s="18">
        <v>1.5</v>
      </c>
      <c r="F157" s="14">
        <f t="shared" si="4"/>
        <v>1.5</v>
      </c>
      <c r="G157" s="185" t="e">
        <f t="shared" si="5"/>
        <v>#DIV/0!</v>
      </c>
      <c r="H157" s="25"/>
    </row>
    <row r="158" spans="1:8" s="5" customFormat="1" ht="38.25" customHeight="1">
      <c r="A158" s="210" t="s">
        <v>466</v>
      </c>
      <c r="B158" s="103"/>
      <c r="C158" s="18"/>
      <c r="D158" s="40"/>
      <c r="E158" s="18">
        <v>16.100000000000001</v>
      </c>
      <c r="F158" s="14">
        <f t="shared" si="4"/>
        <v>16.100000000000001</v>
      </c>
      <c r="G158" s="185" t="e">
        <f t="shared" si="5"/>
        <v>#DIV/0!</v>
      </c>
      <c r="H158" s="25"/>
    </row>
    <row r="159" spans="1:8" s="5" customFormat="1" ht="26.25" customHeight="1">
      <c r="A159" s="211" t="s">
        <v>467</v>
      </c>
      <c r="B159" s="103"/>
      <c r="C159" s="18"/>
      <c r="D159" s="40"/>
      <c r="E159" s="18">
        <v>11.9</v>
      </c>
      <c r="F159" s="14">
        <f t="shared" si="4"/>
        <v>11.9</v>
      </c>
      <c r="G159" s="185" t="e">
        <f t="shared" si="5"/>
        <v>#DIV/0!</v>
      </c>
      <c r="H159" s="25"/>
    </row>
    <row r="160" spans="1:8" s="5" customFormat="1" ht="26.25" customHeight="1">
      <c r="A160" s="211" t="s">
        <v>468</v>
      </c>
      <c r="B160" s="103"/>
      <c r="C160" s="18"/>
      <c r="D160" s="40"/>
      <c r="E160" s="18">
        <v>10.3</v>
      </c>
      <c r="F160" s="14">
        <f t="shared" si="4"/>
        <v>10.3</v>
      </c>
      <c r="G160" s="185" t="e">
        <f t="shared" si="5"/>
        <v>#DIV/0!</v>
      </c>
      <c r="H160" s="25"/>
    </row>
    <row r="161" spans="1:8" s="5" customFormat="1" ht="26.25" customHeight="1">
      <c r="A161" s="210" t="s">
        <v>469</v>
      </c>
      <c r="B161" s="103"/>
      <c r="C161" s="18"/>
      <c r="D161" s="40"/>
      <c r="E161" s="18">
        <v>6.2</v>
      </c>
      <c r="F161" s="14">
        <f t="shared" si="4"/>
        <v>6.2</v>
      </c>
      <c r="G161" s="185" t="e">
        <f t="shared" si="5"/>
        <v>#DIV/0!</v>
      </c>
      <c r="H161" s="25"/>
    </row>
    <row r="162" spans="1:8" s="5" customFormat="1" ht="26.25" customHeight="1">
      <c r="A162" s="211" t="s">
        <v>470</v>
      </c>
      <c r="B162" s="103"/>
      <c r="C162" s="18"/>
      <c r="D162" s="40"/>
      <c r="E162" s="18">
        <v>11.3</v>
      </c>
      <c r="F162" s="14">
        <f t="shared" si="4"/>
        <v>11.3</v>
      </c>
      <c r="G162" s="185" t="e">
        <f t="shared" si="5"/>
        <v>#DIV/0!</v>
      </c>
      <c r="H162" s="25"/>
    </row>
    <row r="163" spans="1:8" s="5" customFormat="1" ht="26.25" customHeight="1">
      <c r="A163" s="211" t="s">
        <v>471</v>
      </c>
      <c r="B163" s="103"/>
      <c r="C163" s="18"/>
      <c r="D163" s="40"/>
      <c r="E163" s="18">
        <v>11.5</v>
      </c>
      <c r="F163" s="14">
        <f t="shared" si="4"/>
        <v>11.5</v>
      </c>
      <c r="G163" s="185" t="e">
        <f t="shared" si="5"/>
        <v>#DIV/0!</v>
      </c>
      <c r="H163" s="25"/>
    </row>
    <row r="164" spans="1:8" s="5" customFormat="1" ht="38.25" customHeight="1">
      <c r="A164" s="210" t="s">
        <v>472</v>
      </c>
      <c r="B164" s="103"/>
      <c r="C164" s="18"/>
      <c r="D164" s="40"/>
      <c r="E164" s="18">
        <v>9.8000000000000007</v>
      </c>
      <c r="F164" s="14">
        <f t="shared" si="4"/>
        <v>9.8000000000000007</v>
      </c>
      <c r="G164" s="185" t="e">
        <f t="shared" si="5"/>
        <v>#DIV/0!</v>
      </c>
      <c r="H164" s="25"/>
    </row>
    <row r="165" spans="1:8" s="5" customFormat="1" ht="26.25" customHeight="1">
      <c r="A165" s="211" t="s">
        <v>473</v>
      </c>
      <c r="B165" s="103"/>
      <c r="C165" s="18"/>
      <c r="D165" s="40"/>
      <c r="E165" s="18">
        <v>1.9</v>
      </c>
      <c r="F165" s="14">
        <f t="shared" si="4"/>
        <v>1.9</v>
      </c>
      <c r="G165" s="185" t="e">
        <f t="shared" si="5"/>
        <v>#DIV/0!</v>
      </c>
      <c r="H165" s="25"/>
    </row>
    <row r="166" spans="1:8" s="5" customFormat="1" ht="26.25" customHeight="1">
      <c r="A166" s="211" t="s">
        <v>474</v>
      </c>
      <c r="B166" s="103"/>
      <c r="C166" s="18"/>
      <c r="D166" s="40"/>
      <c r="E166" s="18">
        <v>15.6</v>
      </c>
      <c r="F166" s="14">
        <f t="shared" si="4"/>
        <v>15.6</v>
      </c>
      <c r="G166" s="185" t="e">
        <f t="shared" si="5"/>
        <v>#DIV/0!</v>
      </c>
      <c r="H166" s="25"/>
    </row>
    <row r="167" spans="1:8" s="5" customFormat="1" ht="26.25" customHeight="1">
      <c r="A167" s="211" t="s">
        <v>475</v>
      </c>
      <c r="B167" s="103"/>
      <c r="C167" s="18"/>
      <c r="D167" s="40"/>
      <c r="E167" s="18">
        <v>22.1</v>
      </c>
      <c r="F167" s="14">
        <f t="shared" si="4"/>
        <v>22.1</v>
      </c>
      <c r="G167" s="185" t="e">
        <f t="shared" si="5"/>
        <v>#DIV/0!</v>
      </c>
      <c r="H167" s="25"/>
    </row>
    <row r="168" spans="1:8" s="5" customFormat="1" ht="26.25" customHeight="1">
      <c r="A168" s="211" t="s">
        <v>476</v>
      </c>
      <c r="B168" s="103"/>
      <c r="C168" s="18"/>
      <c r="D168" s="40"/>
      <c r="E168" s="18">
        <v>26.3</v>
      </c>
      <c r="F168" s="14">
        <f t="shared" si="4"/>
        <v>26.3</v>
      </c>
      <c r="G168" s="185" t="e">
        <f t="shared" si="5"/>
        <v>#DIV/0!</v>
      </c>
      <c r="H168" s="25"/>
    </row>
    <row r="169" spans="1:8" s="5" customFormat="1" ht="26.25" customHeight="1">
      <c r="A169" s="211" t="s">
        <v>477</v>
      </c>
      <c r="B169" s="103"/>
      <c r="C169" s="18"/>
      <c r="D169" s="40"/>
      <c r="E169" s="18">
        <v>9.1999999999999993</v>
      </c>
      <c r="F169" s="14">
        <f t="shared" si="4"/>
        <v>9.1999999999999993</v>
      </c>
      <c r="G169" s="185" t="e">
        <f t="shared" si="5"/>
        <v>#DIV/0!</v>
      </c>
      <c r="H169" s="25"/>
    </row>
    <row r="170" spans="1:8" s="5" customFormat="1" ht="41.25" customHeight="1">
      <c r="A170" s="210" t="s">
        <v>478</v>
      </c>
      <c r="B170" s="103"/>
      <c r="C170" s="18"/>
      <c r="D170" s="40"/>
      <c r="E170" s="18">
        <v>22</v>
      </c>
      <c r="F170" s="14">
        <f t="shared" si="4"/>
        <v>22</v>
      </c>
      <c r="G170" s="185" t="e">
        <f t="shared" si="5"/>
        <v>#DIV/0!</v>
      </c>
      <c r="H170" s="25"/>
    </row>
    <row r="171" spans="1:8" s="5" customFormat="1" ht="41.25" customHeight="1">
      <c r="A171" s="210" t="s">
        <v>479</v>
      </c>
      <c r="B171" s="103"/>
      <c r="C171" s="18"/>
      <c r="D171" s="40"/>
      <c r="E171" s="18">
        <v>5.4</v>
      </c>
      <c r="F171" s="14">
        <f t="shared" si="4"/>
        <v>5.4</v>
      </c>
      <c r="G171" s="185" t="e">
        <f t="shared" si="5"/>
        <v>#DIV/0!</v>
      </c>
      <c r="H171" s="25"/>
    </row>
    <row r="172" spans="1:8" s="5" customFormat="1" ht="26.25" customHeight="1">
      <c r="A172" s="211" t="s">
        <v>480</v>
      </c>
      <c r="B172" s="103"/>
      <c r="C172" s="18"/>
      <c r="D172" s="40"/>
      <c r="E172" s="18">
        <v>3.1</v>
      </c>
      <c r="F172" s="14">
        <f t="shared" si="4"/>
        <v>3.1</v>
      </c>
      <c r="G172" s="185" t="e">
        <f t="shared" si="5"/>
        <v>#DIV/0!</v>
      </c>
      <c r="H172" s="25"/>
    </row>
    <row r="173" spans="1:8" s="5" customFormat="1" ht="36.75" customHeight="1">
      <c r="A173" s="74" t="s">
        <v>481</v>
      </c>
      <c r="B173" s="103"/>
      <c r="C173" s="18"/>
      <c r="D173" s="40"/>
      <c r="E173" s="18">
        <v>22</v>
      </c>
      <c r="F173" s="14">
        <f t="shared" si="4"/>
        <v>22</v>
      </c>
      <c r="G173" s="185" t="e">
        <f t="shared" si="5"/>
        <v>#DIV/0!</v>
      </c>
      <c r="H173" s="25"/>
    </row>
    <row r="174" spans="1:8" s="5" customFormat="1" ht="26.25" customHeight="1">
      <c r="A174" s="167" t="s">
        <v>482</v>
      </c>
      <c r="B174" s="103"/>
      <c r="C174" s="18"/>
      <c r="D174" s="40"/>
      <c r="E174" s="18">
        <v>3</v>
      </c>
      <c r="F174" s="14">
        <f t="shared" si="4"/>
        <v>3</v>
      </c>
      <c r="G174" s="185" t="e">
        <f t="shared" si="5"/>
        <v>#DIV/0!</v>
      </c>
      <c r="H174" s="25"/>
    </row>
    <row r="175" spans="1:8" s="5" customFormat="1" ht="26.25" customHeight="1">
      <c r="A175" s="167" t="s">
        <v>483</v>
      </c>
      <c r="B175" s="103"/>
      <c r="C175" s="18"/>
      <c r="D175" s="40"/>
      <c r="E175" s="18">
        <v>18.899999999999999</v>
      </c>
      <c r="F175" s="14">
        <f t="shared" si="4"/>
        <v>18.899999999999999</v>
      </c>
      <c r="G175" s="185" t="e">
        <f t="shared" si="5"/>
        <v>#DIV/0!</v>
      </c>
      <c r="H175" s="25"/>
    </row>
    <row r="176" spans="1:8" s="5" customFormat="1" ht="26.25" customHeight="1">
      <c r="A176" s="167" t="s">
        <v>484</v>
      </c>
      <c r="B176" s="103"/>
      <c r="C176" s="18"/>
      <c r="D176" s="40"/>
      <c r="E176" s="18">
        <v>4.2</v>
      </c>
      <c r="F176" s="14">
        <f t="shared" si="4"/>
        <v>4.2</v>
      </c>
      <c r="G176" s="185" t="e">
        <f t="shared" si="5"/>
        <v>#DIV/0!</v>
      </c>
      <c r="H176" s="25"/>
    </row>
    <row r="177" spans="1:8" s="5" customFormat="1" ht="59.25" customHeight="1">
      <c r="A177" s="74" t="s">
        <v>485</v>
      </c>
      <c r="B177" s="103"/>
      <c r="C177" s="18"/>
      <c r="D177" s="40"/>
      <c r="E177" s="18">
        <v>15.2</v>
      </c>
      <c r="F177" s="14">
        <f t="shared" si="4"/>
        <v>15.2</v>
      </c>
      <c r="G177" s="185" t="e">
        <f t="shared" si="5"/>
        <v>#DIV/0!</v>
      </c>
      <c r="H177" s="25"/>
    </row>
    <row r="178" spans="1:8" s="5" customFormat="1" ht="27" customHeight="1">
      <c r="A178" s="167" t="s">
        <v>495</v>
      </c>
      <c r="B178" s="103"/>
      <c r="C178" s="18"/>
      <c r="D178" s="40"/>
      <c r="E178" s="18">
        <v>14.8</v>
      </c>
      <c r="F178" s="14">
        <f t="shared" si="4"/>
        <v>14.8</v>
      </c>
      <c r="G178" s="185" t="e">
        <f t="shared" si="5"/>
        <v>#DIV/0!</v>
      </c>
      <c r="H178" s="25"/>
    </row>
    <row r="179" spans="1:8" s="5" customFormat="1" ht="44.25" customHeight="1">
      <c r="A179" s="74" t="s">
        <v>496</v>
      </c>
      <c r="B179" s="103"/>
      <c r="C179" s="18"/>
      <c r="D179" s="40"/>
      <c r="E179" s="18">
        <v>13.3</v>
      </c>
      <c r="F179" s="14">
        <f t="shared" si="4"/>
        <v>13.3</v>
      </c>
      <c r="G179" s="185" t="e">
        <f t="shared" si="5"/>
        <v>#DIV/0!</v>
      </c>
      <c r="H179" s="25"/>
    </row>
    <row r="180" spans="1:8" s="5" customFormat="1" ht="26.25" customHeight="1">
      <c r="A180" s="167" t="s">
        <v>486</v>
      </c>
      <c r="B180" s="103"/>
      <c r="C180" s="18"/>
      <c r="D180" s="40"/>
      <c r="E180" s="18">
        <v>6.6</v>
      </c>
      <c r="F180" s="14">
        <f t="shared" si="4"/>
        <v>6.6</v>
      </c>
      <c r="G180" s="185" t="e">
        <f t="shared" si="5"/>
        <v>#DIV/0!</v>
      </c>
      <c r="H180" s="25"/>
    </row>
    <row r="181" spans="1:8" s="5" customFormat="1" ht="26.25" customHeight="1">
      <c r="A181" s="74" t="s">
        <v>487</v>
      </c>
      <c r="B181" s="103"/>
      <c r="C181" s="18"/>
      <c r="D181" s="40"/>
      <c r="E181" s="18">
        <v>6.2</v>
      </c>
      <c r="F181" s="14">
        <f t="shared" si="4"/>
        <v>6.2</v>
      </c>
      <c r="G181" s="185" t="e">
        <f t="shared" si="5"/>
        <v>#DIV/0!</v>
      </c>
      <c r="H181" s="25"/>
    </row>
    <row r="182" spans="1:8" s="5" customFormat="1" ht="26.25" customHeight="1">
      <c r="A182" s="167" t="s">
        <v>488</v>
      </c>
      <c r="B182" s="103"/>
      <c r="C182" s="18"/>
      <c r="D182" s="40"/>
      <c r="E182" s="18">
        <v>4.8</v>
      </c>
      <c r="F182" s="14">
        <f t="shared" si="4"/>
        <v>4.8</v>
      </c>
      <c r="G182" s="185" t="e">
        <f t="shared" si="5"/>
        <v>#DIV/0!</v>
      </c>
      <c r="H182" s="25"/>
    </row>
    <row r="183" spans="1:8" s="5" customFormat="1" ht="26.25" customHeight="1">
      <c r="A183" s="167" t="s">
        <v>489</v>
      </c>
      <c r="B183" s="103"/>
      <c r="C183" s="18"/>
      <c r="D183" s="40"/>
      <c r="E183" s="18">
        <v>4.0999999999999996</v>
      </c>
      <c r="F183" s="14">
        <f t="shared" si="4"/>
        <v>4.0999999999999996</v>
      </c>
      <c r="G183" s="185" t="e">
        <f t="shared" si="5"/>
        <v>#DIV/0!</v>
      </c>
      <c r="H183" s="25"/>
    </row>
    <row r="184" spans="1:8" s="5" customFormat="1" ht="26.25" customHeight="1">
      <c r="A184" s="167" t="s">
        <v>490</v>
      </c>
      <c r="B184" s="103"/>
      <c r="C184" s="18"/>
      <c r="D184" s="40"/>
      <c r="E184" s="18">
        <v>3.5</v>
      </c>
      <c r="F184" s="14">
        <f t="shared" si="4"/>
        <v>3.5</v>
      </c>
      <c r="G184" s="185" t="e">
        <f t="shared" si="5"/>
        <v>#DIV/0!</v>
      </c>
      <c r="H184" s="25"/>
    </row>
    <row r="185" spans="1:8" s="5" customFormat="1" ht="26.25" customHeight="1">
      <c r="A185" s="167" t="s">
        <v>491</v>
      </c>
      <c r="B185" s="103"/>
      <c r="C185" s="18"/>
      <c r="D185" s="40"/>
      <c r="E185" s="18">
        <v>2.8</v>
      </c>
      <c r="F185" s="14">
        <f t="shared" si="4"/>
        <v>2.8</v>
      </c>
      <c r="G185" s="185" t="e">
        <f t="shared" si="5"/>
        <v>#DIV/0!</v>
      </c>
      <c r="H185" s="25"/>
    </row>
    <row r="186" spans="1:8" s="5" customFormat="1" ht="26.25" customHeight="1">
      <c r="A186" s="167" t="s">
        <v>492</v>
      </c>
      <c r="B186" s="103"/>
      <c r="C186" s="18"/>
      <c r="D186" s="40"/>
      <c r="E186" s="18">
        <v>2.1</v>
      </c>
      <c r="F186" s="14">
        <f t="shared" si="4"/>
        <v>2.1</v>
      </c>
      <c r="G186" s="185" t="e">
        <f t="shared" si="5"/>
        <v>#DIV/0!</v>
      </c>
      <c r="H186" s="25"/>
    </row>
    <row r="187" spans="1:8" s="5" customFormat="1" ht="26.25" customHeight="1">
      <c r="A187" s="167" t="s">
        <v>493</v>
      </c>
      <c r="B187" s="103"/>
      <c r="C187" s="18"/>
      <c r="D187" s="40"/>
      <c r="E187" s="18">
        <v>0.2</v>
      </c>
      <c r="F187" s="14">
        <f t="shared" si="4"/>
        <v>0.2</v>
      </c>
      <c r="G187" s="185" t="e">
        <f t="shared" si="5"/>
        <v>#DIV/0!</v>
      </c>
      <c r="H187" s="25"/>
    </row>
    <row r="188" spans="1:8" s="5" customFormat="1" ht="26.25" customHeight="1">
      <c r="A188" s="167" t="s">
        <v>494</v>
      </c>
      <c r="B188" s="103"/>
      <c r="C188" s="18"/>
      <c r="D188" s="40"/>
      <c r="E188" s="18">
        <v>0.4</v>
      </c>
      <c r="F188" s="14">
        <f t="shared" si="4"/>
        <v>0.4</v>
      </c>
      <c r="G188" s="185" t="e">
        <f t="shared" si="5"/>
        <v>#DIV/0!</v>
      </c>
      <c r="H188" s="25"/>
    </row>
    <row r="189" spans="1:8" s="82" customFormat="1" ht="61.5" customHeight="1">
      <c r="A189" s="261" t="s">
        <v>63</v>
      </c>
      <c r="B189" s="262">
        <v>4050</v>
      </c>
      <c r="C189" s="40">
        <f>C190+C191</f>
        <v>1649.8000000000002</v>
      </c>
      <c r="D189" s="40"/>
      <c r="E189" s="40"/>
      <c r="F189" s="40">
        <f t="shared" si="4"/>
        <v>0</v>
      </c>
      <c r="G189" s="263" t="e">
        <f t="shared" si="5"/>
        <v>#DIV/0!</v>
      </c>
      <c r="H189" s="168"/>
    </row>
    <row r="190" spans="1:8" s="5" customFormat="1" ht="159.75" customHeight="1">
      <c r="A190" s="74" t="s">
        <v>434</v>
      </c>
      <c r="B190" s="103"/>
      <c r="C190" s="18">
        <v>83.9</v>
      </c>
      <c r="D190" s="40"/>
      <c r="E190" s="18"/>
      <c r="F190" s="14">
        <f t="shared" si="4"/>
        <v>0</v>
      </c>
      <c r="G190" s="185" t="e">
        <f t="shared" si="5"/>
        <v>#DIV/0!</v>
      </c>
      <c r="H190" s="25"/>
    </row>
    <row r="191" spans="1:8" s="5" customFormat="1" ht="85.5" customHeight="1">
      <c r="A191" s="74" t="s">
        <v>435</v>
      </c>
      <c r="B191" s="103"/>
      <c r="C191" s="18">
        <v>1565.9</v>
      </c>
      <c r="D191" s="40"/>
      <c r="E191" s="18"/>
      <c r="F191" s="14">
        <f t="shared" si="4"/>
        <v>0</v>
      </c>
      <c r="G191" s="185" t="e">
        <f t="shared" si="5"/>
        <v>#DIV/0!</v>
      </c>
      <c r="H191" s="25"/>
    </row>
    <row r="192" spans="1:8" ht="36" customHeight="1">
      <c r="A192" s="67" t="s">
        <v>39</v>
      </c>
      <c r="B192" s="64">
        <v>4060</v>
      </c>
      <c r="C192" s="40">
        <f>SUM(C193:C195)</f>
        <v>8960.2000000000007</v>
      </c>
      <c r="D192" s="40">
        <f>SUM(D193:D194)</f>
        <v>0</v>
      </c>
      <c r="E192" s="40">
        <f>SUM(E193:E194)</f>
        <v>1760.8</v>
      </c>
      <c r="F192" s="40">
        <f t="shared" si="4"/>
        <v>1760.8</v>
      </c>
      <c r="G192" s="185" t="e">
        <f t="shared" si="5"/>
        <v>#DIV/0!</v>
      </c>
    </row>
    <row r="193" spans="1:8" ht="128.25" customHeight="1">
      <c r="A193" s="196" t="s">
        <v>282</v>
      </c>
      <c r="B193" s="12"/>
      <c r="C193" s="18">
        <v>4495.7</v>
      </c>
      <c r="D193" s="18"/>
      <c r="E193" s="18">
        <v>1760.8</v>
      </c>
      <c r="F193" s="14">
        <f t="shared" si="4"/>
        <v>1760.8</v>
      </c>
      <c r="G193" s="185" t="e">
        <f t="shared" si="5"/>
        <v>#DIV/0!</v>
      </c>
    </row>
    <row r="194" spans="1:8" ht="71.25" customHeight="1">
      <c r="A194" s="196" t="s">
        <v>254</v>
      </c>
      <c r="B194" s="12"/>
      <c r="C194" s="18">
        <v>4396.5</v>
      </c>
      <c r="D194" s="18"/>
      <c r="E194" s="18"/>
      <c r="F194" s="14">
        <f t="shared" si="4"/>
        <v>0</v>
      </c>
      <c r="G194" s="185" t="e">
        <f t="shared" si="5"/>
        <v>#DIV/0!</v>
      </c>
    </row>
    <row r="195" spans="1:8" ht="199.5" customHeight="1">
      <c r="A195" s="74" t="s">
        <v>433</v>
      </c>
      <c r="B195" s="12"/>
      <c r="C195" s="18">
        <v>68</v>
      </c>
      <c r="D195" s="18"/>
      <c r="E195" s="18"/>
      <c r="F195" s="14">
        <f t="shared" si="4"/>
        <v>0</v>
      </c>
      <c r="G195" s="185" t="e">
        <f t="shared" si="5"/>
        <v>#DIV/0!</v>
      </c>
    </row>
    <row r="196" spans="1:8" ht="26.25" customHeight="1">
      <c r="A196" s="7"/>
      <c r="B196" s="3"/>
      <c r="C196" s="29"/>
      <c r="D196" s="29"/>
      <c r="E196" s="29"/>
      <c r="F196" s="29"/>
      <c r="G196" s="34"/>
    </row>
    <row r="197" spans="1:8" ht="26.25" customHeight="1">
      <c r="A197" s="76" t="s">
        <v>213</v>
      </c>
      <c r="B197" s="27"/>
      <c r="C197" s="238"/>
      <c r="D197" s="238"/>
      <c r="E197" s="231" t="s">
        <v>186</v>
      </c>
      <c r="F197" s="231"/>
      <c r="G197" s="231"/>
      <c r="H197" s="28"/>
    </row>
    <row r="198" spans="1:8">
      <c r="A198" s="203" t="s">
        <v>60</v>
      </c>
      <c r="B198" s="2"/>
      <c r="C198" s="228" t="s">
        <v>66</v>
      </c>
      <c r="D198" s="228"/>
      <c r="E198" s="204"/>
      <c r="F198" s="2" t="s">
        <v>17</v>
      </c>
    </row>
    <row r="199" spans="1:8">
      <c r="A199" s="7"/>
      <c r="C199" s="104"/>
      <c r="D199" s="6"/>
      <c r="E199" s="6"/>
      <c r="F199" s="6"/>
    </row>
    <row r="200" spans="1:8">
      <c r="A200" s="7"/>
      <c r="C200" s="104"/>
      <c r="D200" s="6"/>
      <c r="E200" s="6"/>
      <c r="F200" s="6"/>
    </row>
    <row r="201" spans="1:8">
      <c r="A201" s="7"/>
      <c r="C201" s="104"/>
      <c r="D201" s="6"/>
      <c r="E201" s="6"/>
      <c r="F201" s="6"/>
    </row>
    <row r="202" spans="1:8">
      <c r="A202" s="7"/>
      <c r="C202" s="104"/>
      <c r="D202" s="6"/>
      <c r="E202" s="6"/>
      <c r="F202" s="6"/>
    </row>
    <row r="203" spans="1:8">
      <c r="A203" s="7"/>
      <c r="C203" s="104"/>
      <c r="D203" s="6"/>
      <c r="E203" s="6"/>
      <c r="F203" s="6"/>
    </row>
    <row r="204" spans="1:8">
      <c r="A204" s="7"/>
      <c r="C204" s="104"/>
      <c r="D204" s="6"/>
      <c r="E204" s="6"/>
      <c r="F204" s="6"/>
    </row>
    <row r="205" spans="1:8">
      <c r="A205" s="7"/>
      <c r="C205" s="104"/>
      <c r="D205" s="6"/>
      <c r="E205" s="6"/>
      <c r="F205" s="6"/>
    </row>
    <row r="206" spans="1:8">
      <c r="A206" s="7"/>
      <c r="C206" s="104"/>
      <c r="D206" s="6"/>
      <c r="E206" s="6"/>
      <c r="F206" s="6"/>
    </row>
    <row r="207" spans="1:8">
      <c r="A207" s="7"/>
      <c r="C207" s="104"/>
      <c r="D207" s="6"/>
      <c r="E207" s="6"/>
      <c r="F207" s="6"/>
    </row>
    <row r="208" spans="1:8">
      <c r="A208" s="7"/>
      <c r="C208" s="104"/>
      <c r="D208" s="6"/>
      <c r="E208" s="6"/>
      <c r="F208" s="6"/>
    </row>
    <row r="209" spans="1:6">
      <c r="A209" s="7"/>
      <c r="C209" s="104"/>
      <c r="D209" s="6"/>
      <c r="E209" s="6"/>
      <c r="F209" s="6"/>
    </row>
    <row r="210" spans="1:6">
      <c r="A210" s="7"/>
      <c r="C210" s="104"/>
      <c r="D210" s="6"/>
      <c r="E210" s="6"/>
      <c r="F210" s="6"/>
    </row>
    <row r="211" spans="1:6">
      <c r="A211" s="7"/>
      <c r="C211" s="104"/>
      <c r="D211" s="6"/>
      <c r="E211" s="6"/>
      <c r="F211" s="6"/>
    </row>
    <row r="212" spans="1:6">
      <c r="A212" s="7"/>
      <c r="C212" s="104"/>
      <c r="D212" s="6"/>
      <c r="E212" s="6"/>
      <c r="F212" s="6"/>
    </row>
    <row r="213" spans="1:6">
      <c r="A213" s="7"/>
      <c r="C213" s="104"/>
      <c r="D213" s="6"/>
      <c r="E213" s="6"/>
      <c r="F213" s="6"/>
    </row>
    <row r="214" spans="1:6">
      <c r="A214" s="7"/>
      <c r="C214" s="104"/>
      <c r="D214" s="6"/>
      <c r="E214" s="6"/>
      <c r="F214" s="6"/>
    </row>
    <row r="215" spans="1:6">
      <c r="A215" s="7"/>
      <c r="C215" s="104"/>
      <c r="D215" s="6"/>
      <c r="E215" s="6"/>
      <c r="F215" s="6"/>
    </row>
    <row r="216" spans="1:6">
      <c r="A216" s="7"/>
      <c r="C216" s="104"/>
      <c r="D216" s="6"/>
      <c r="E216" s="6"/>
      <c r="F216" s="6"/>
    </row>
    <row r="217" spans="1:6">
      <c r="A217" s="7"/>
      <c r="C217" s="104"/>
      <c r="D217" s="6"/>
      <c r="E217" s="6"/>
      <c r="F217" s="6"/>
    </row>
    <row r="218" spans="1:6">
      <c r="A218" s="7"/>
      <c r="C218" s="104"/>
      <c r="D218" s="6"/>
      <c r="E218" s="6"/>
      <c r="F218" s="6"/>
    </row>
    <row r="219" spans="1:6">
      <c r="A219" s="7"/>
      <c r="C219" s="104"/>
      <c r="D219" s="6"/>
      <c r="E219" s="6"/>
      <c r="F219" s="6"/>
    </row>
    <row r="220" spans="1:6">
      <c r="A220" s="7"/>
      <c r="C220" s="104"/>
      <c r="D220" s="6"/>
      <c r="E220" s="6"/>
      <c r="F220" s="6"/>
    </row>
    <row r="221" spans="1:6">
      <c r="A221" s="7"/>
      <c r="C221" s="104"/>
      <c r="D221" s="6"/>
      <c r="E221" s="6"/>
      <c r="F221" s="6"/>
    </row>
    <row r="222" spans="1:6">
      <c r="A222" s="7"/>
      <c r="C222" s="104"/>
      <c r="D222" s="6"/>
      <c r="E222" s="6"/>
      <c r="F222" s="6"/>
    </row>
    <row r="223" spans="1:6">
      <c r="A223" s="7"/>
      <c r="C223" s="104"/>
      <c r="D223" s="6"/>
      <c r="E223" s="6"/>
      <c r="F223" s="6"/>
    </row>
    <row r="224" spans="1:6">
      <c r="A224" s="7"/>
      <c r="C224" s="104"/>
      <c r="D224" s="6"/>
      <c r="E224" s="6"/>
      <c r="F224" s="6"/>
    </row>
    <row r="225" spans="1:6">
      <c r="A225" s="7"/>
      <c r="C225" s="104"/>
      <c r="D225" s="6"/>
      <c r="E225" s="6"/>
      <c r="F225" s="6"/>
    </row>
    <row r="226" spans="1:6">
      <c r="A226" s="7"/>
      <c r="C226" s="104"/>
      <c r="D226" s="6"/>
      <c r="E226" s="6"/>
      <c r="F226" s="6"/>
    </row>
    <row r="227" spans="1:6">
      <c r="A227" s="7"/>
      <c r="C227" s="104"/>
      <c r="D227" s="6"/>
      <c r="E227" s="6"/>
      <c r="F227" s="6"/>
    </row>
    <row r="228" spans="1:6">
      <c r="A228" s="7"/>
      <c r="C228" s="104"/>
      <c r="D228" s="6"/>
      <c r="E228" s="6"/>
      <c r="F228" s="6"/>
    </row>
    <row r="229" spans="1:6">
      <c r="A229" s="7"/>
      <c r="C229" s="104"/>
      <c r="D229" s="6"/>
      <c r="E229" s="6"/>
      <c r="F229" s="6"/>
    </row>
    <row r="230" spans="1:6">
      <c r="A230" s="7"/>
      <c r="C230" s="104"/>
      <c r="D230" s="6"/>
      <c r="E230" s="6"/>
      <c r="F230" s="6"/>
    </row>
    <row r="231" spans="1:6">
      <c r="A231" s="7"/>
      <c r="C231" s="104"/>
      <c r="D231" s="6"/>
      <c r="E231" s="6"/>
      <c r="F231" s="6"/>
    </row>
    <row r="232" spans="1:6">
      <c r="A232" s="7"/>
      <c r="C232" s="104"/>
      <c r="D232" s="6"/>
      <c r="E232" s="6"/>
      <c r="F232" s="6"/>
    </row>
    <row r="233" spans="1:6">
      <c r="A233" s="7"/>
      <c r="C233" s="104"/>
      <c r="D233" s="6"/>
      <c r="E233" s="6"/>
      <c r="F233" s="6"/>
    </row>
    <row r="234" spans="1:6">
      <c r="A234" s="7"/>
      <c r="C234" s="104"/>
      <c r="D234" s="6"/>
      <c r="E234" s="6"/>
      <c r="F234" s="6"/>
    </row>
    <row r="235" spans="1:6">
      <c r="A235" s="7"/>
      <c r="C235" s="104"/>
      <c r="D235" s="6"/>
      <c r="E235" s="6"/>
      <c r="F235" s="6"/>
    </row>
    <row r="236" spans="1:6">
      <c r="A236" s="7"/>
      <c r="C236" s="104"/>
      <c r="D236" s="6"/>
      <c r="E236" s="6"/>
      <c r="F236" s="6"/>
    </row>
    <row r="237" spans="1:6">
      <c r="A237" s="7"/>
      <c r="C237" s="104"/>
      <c r="D237" s="6"/>
      <c r="E237" s="6"/>
      <c r="F237" s="6"/>
    </row>
    <row r="238" spans="1:6">
      <c r="A238" s="7"/>
      <c r="C238" s="104"/>
      <c r="D238" s="6"/>
      <c r="E238" s="6"/>
      <c r="F238" s="6"/>
    </row>
    <row r="239" spans="1:6">
      <c r="A239" s="7"/>
      <c r="C239" s="104"/>
      <c r="D239" s="6"/>
      <c r="E239" s="6"/>
      <c r="F239" s="6"/>
    </row>
    <row r="240" spans="1:6">
      <c r="A240" s="7"/>
      <c r="C240" s="104"/>
      <c r="D240" s="6"/>
      <c r="E240" s="6"/>
      <c r="F240" s="6"/>
    </row>
    <row r="241" spans="1:6">
      <c r="A241" s="7"/>
      <c r="C241" s="104"/>
      <c r="D241" s="6"/>
      <c r="E241" s="6"/>
      <c r="F241" s="6"/>
    </row>
    <row r="242" spans="1:6">
      <c r="A242" s="7"/>
      <c r="C242" s="104"/>
      <c r="D242" s="6"/>
      <c r="E242" s="6"/>
      <c r="F242" s="6"/>
    </row>
    <row r="243" spans="1:6">
      <c r="A243" s="7"/>
      <c r="C243" s="104"/>
      <c r="D243" s="6"/>
      <c r="E243" s="6"/>
      <c r="F243" s="6"/>
    </row>
    <row r="244" spans="1:6">
      <c r="A244" s="7"/>
      <c r="C244" s="104"/>
      <c r="D244" s="6"/>
      <c r="E244" s="6"/>
      <c r="F244" s="6"/>
    </row>
    <row r="245" spans="1:6">
      <c r="A245" s="7"/>
      <c r="C245" s="104"/>
      <c r="D245" s="6"/>
      <c r="E245" s="6"/>
      <c r="F245" s="6"/>
    </row>
    <row r="246" spans="1:6">
      <c r="A246" s="7"/>
      <c r="C246" s="104"/>
      <c r="D246" s="6"/>
      <c r="E246" s="6"/>
      <c r="F246" s="6"/>
    </row>
    <row r="247" spans="1:6">
      <c r="A247" s="7"/>
      <c r="C247" s="104"/>
      <c r="D247" s="6"/>
      <c r="E247" s="6"/>
      <c r="F247" s="6"/>
    </row>
    <row r="248" spans="1:6">
      <c r="A248" s="7"/>
      <c r="C248" s="104"/>
      <c r="D248" s="6"/>
      <c r="E248" s="6"/>
      <c r="F248" s="6"/>
    </row>
    <row r="249" spans="1:6">
      <c r="A249" s="7"/>
      <c r="C249" s="104"/>
      <c r="D249" s="6"/>
      <c r="E249" s="6"/>
      <c r="F249" s="6"/>
    </row>
    <row r="250" spans="1:6">
      <c r="A250" s="7"/>
      <c r="C250" s="104"/>
      <c r="D250" s="6"/>
      <c r="E250" s="6"/>
      <c r="F250" s="6"/>
    </row>
    <row r="251" spans="1:6">
      <c r="A251" s="7"/>
      <c r="C251" s="104"/>
      <c r="D251" s="6"/>
      <c r="E251" s="6"/>
      <c r="F251" s="6"/>
    </row>
    <row r="252" spans="1:6">
      <c r="A252" s="7"/>
      <c r="C252" s="104"/>
      <c r="D252" s="6"/>
      <c r="E252" s="6"/>
      <c r="F252" s="6"/>
    </row>
    <row r="253" spans="1:6">
      <c r="A253" s="7"/>
    </row>
    <row r="254" spans="1:6">
      <c r="A254" s="8"/>
    </row>
    <row r="255" spans="1:6">
      <c r="A255" s="8"/>
    </row>
    <row r="256" spans="1:6">
      <c r="A256" s="8"/>
    </row>
    <row r="257" spans="1:1">
      <c r="A257" s="8"/>
    </row>
    <row r="258" spans="1:1">
      <c r="A258" s="8"/>
    </row>
    <row r="259" spans="1:1">
      <c r="A259" s="8"/>
    </row>
    <row r="260" spans="1:1">
      <c r="A260" s="8"/>
    </row>
    <row r="261" spans="1:1">
      <c r="A261" s="8"/>
    </row>
    <row r="262" spans="1:1">
      <c r="A262" s="8"/>
    </row>
    <row r="263" spans="1:1">
      <c r="A263" s="8"/>
    </row>
    <row r="264" spans="1:1">
      <c r="A264" s="8"/>
    </row>
    <row r="265" spans="1:1">
      <c r="A265" s="8"/>
    </row>
    <row r="266" spans="1:1">
      <c r="A266" s="8"/>
    </row>
    <row r="267" spans="1:1">
      <c r="A267" s="8"/>
    </row>
    <row r="268" spans="1:1">
      <c r="A268" s="8"/>
    </row>
    <row r="269" spans="1:1">
      <c r="A269" s="8"/>
    </row>
    <row r="270" spans="1:1">
      <c r="A270" s="8"/>
    </row>
    <row r="271" spans="1:1">
      <c r="A271" s="8"/>
    </row>
    <row r="272" spans="1:1">
      <c r="A272" s="8"/>
    </row>
    <row r="273" spans="1:1">
      <c r="A273" s="8"/>
    </row>
    <row r="274" spans="1:1">
      <c r="A274" s="8"/>
    </row>
    <row r="275" spans="1:1">
      <c r="A275" s="8"/>
    </row>
    <row r="276" spans="1:1">
      <c r="A276" s="8"/>
    </row>
    <row r="277" spans="1:1">
      <c r="A277" s="8"/>
    </row>
    <row r="278" spans="1:1">
      <c r="A278" s="8"/>
    </row>
    <row r="279" spans="1:1">
      <c r="A279" s="8"/>
    </row>
    <row r="280" spans="1:1">
      <c r="A280" s="8"/>
    </row>
    <row r="281" spans="1:1">
      <c r="A281" s="8"/>
    </row>
    <row r="282" spans="1:1">
      <c r="A282" s="8"/>
    </row>
    <row r="283" spans="1:1">
      <c r="A283" s="8"/>
    </row>
    <row r="284" spans="1:1">
      <c r="A284" s="8"/>
    </row>
    <row r="285" spans="1:1">
      <c r="A285" s="8"/>
    </row>
    <row r="286" spans="1:1">
      <c r="A286" s="8"/>
    </row>
    <row r="287" spans="1:1">
      <c r="A287" s="8"/>
    </row>
    <row r="288" spans="1:1">
      <c r="A288" s="8"/>
    </row>
    <row r="289" spans="1:1">
      <c r="A289" s="8"/>
    </row>
    <row r="290" spans="1:1">
      <c r="A290" s="8"/>
    </row>
    <row r="291" spans="1:1">
      <c r="A291" s="8"/>
    </row>
    <row r="292" spans="1:1">
      <c r="A292" s="8"/>
    </row>
    <row r="293" spans="1:1">
      <c r="A293" s="8"/>
    </row>
    <row r="294" spans="1:1">
      <c r="A294" s="8"/>
    </row>
    <row r="295" spans="1:1">
      <c r="A295" s="8"/>
    </row>
    <row r="296" spans="1:1">
      <c r="A296" s="8"/>
    </row>
    <row r="297" spans="1:1">
      <c r="A297" s="8"/>
    </row>
    <row r="298" spans="1:1">
      <c r="A298" s="8"/>
    </row>
    <row r="299" spans="1:1">
      <c r="A299" s="8"/>
    </row>
    <row r="300" spans="1:1">
      <c r="A300" s="8"/>
    </row>
    <row r="301" spans="1:1">
      <c r="A301" s="8"/>
    </row>
    <row r="302" spans="1:1">
      <c r="A302" s="8"/>
    </row>
    <row r="303" spans="1:1">
      <c r="A303" s="8"/>
    </row>
    <row r="304" spans="1:1">
      <c r="A304" s="8"/>
    </row>
    <row r="305" spans="1:1">
      <c r="A305" s="8"/>
    </row>
    <row r="306" spans="1:1">
      <c r="A306" s="8"/>
    </row>
    <row r="307" spans="1:1">
      <c r="A307" s="8"/>
    </row>
    <row r="308" spans="1:1">
      <c r="A308" s="8"/>
    </row>
    <row r="309" spans="1:1">
      <c r="A309" s="8"/>
    </row>
    <row r="310" spans="1:1">
      <c r="A310" s="8"/>
    </row>
    <row r="311" spans="1:1">
      <c r="A311" s="8"/>
    </row>
    <row r="312" spans="1:1">
      <c r="A312" s="8"/>
    </row>
    <row r="313" spans="1:1">
      <c r="A313" s="8"/>
    </row>
    <row r="314" spans="1:1">
      <c r="A314" s="8"/>
    </row>
    <row r="315" spans="1:1">
      <c r="A315" s="8"/>
    </row>
    <row r="316" spans="1:1">
      <c r="A316" s="8"/>
    </row>
    <row r="317" spans="1:1">
      <c r="A317" s="8"/>
    </row>
    <row r="318" spans="1:1">
      <c r="A318" s="8"/>
    </row>
    <row r="319" spans="1:1">
      <c r="A319" s="8"/>
    </row>
    <row r="320" spans="1:1">
      <c r="A320" s="8"/>
    </row>
    <row r="321" spans="1:1">
      <c r="A321" s="8"/>
    </row>
    <row r="322" spans="1:1">
      <c r="A322" s="8"/>
    </row>
    <row r="323" spans="1:1">
      <c r="A323" s="8"/>
    </row>
    <row r="324" spans="1:1">
      <c r="A324" s="8"/>
    </row>
    <row r="325" spans="1:1">
      <c r="A325" s="8"/>
    </row>
    <row r="326" spans="1:1">
      <c r="A326" s="8"/>
    </row>
    <row r="327" spans="1:1">
      <c r="A327" s="8"/>
    </row>
    <row r="328" spans="1:1">
      <c r="A328" s="8"/>
    </row>
    <row r="329" spans="1:1">
      <c r="A329" s="8"/>
    </row>
    <row r="330" spans="1:1">
      <c r="A330" s="8"/>
    </row>
    <row r="331" spans="1:1">
      <c r="A331" s="8"/>
    </row>
    <row r="332" spans="1:1">
      <c r="A332" s="8"/>
    </row>
    <row r="333" spans="1:1">
      <c r="A333" s="8"/>
    </row>
    <row r="334" spans="1:1">
      <c r="A334" s="8"/>
    </row>
    <row r="335" spans="1:1">
      <c r="A335" s="8"/>
    </row>
    <row r="336" spans="1:1">
      <c r="A336" s="8"/>
    </row>
    <row r="337" spans="1:1">
      <c r="A337" s="8"/>
    </row>
    <row r="338" spans="1:1">
      <c r="A338" s="8"/>
    </row>
    <row r="339" spans="1:1">
      <c r="A339" s="8"/>
    </row>
    <row r="340" spans="1:1">
      <c r="A340" s="8"/>
    </row>
    <row r="341" spans="1:1">
      <c r="A341" s="8"/>
    </row>
    <row r="342" spans="1:1">
      <c r="A342" s="8"/>
    </row>
    <row r="343" spans="1:1">
      <c r="A343" s="8"/>
    </row>
    <row r="344" spans="1:1">
      <c r="A344" s="8"/>
    </row>
    <row r="345" spans="1:1">
      <c r="A345" s="8"/>
    </row>
    <row r="346" spans="1:1">
      <c r="A346" s="8"/>
    </row>
    <row r="347" spans="1:1">
      <c r="A347" s="8"/>
    </row>
    <row r="348" spans="1:1">
      <c r="A348" s="8"/>
    </row>
    <row r="349" spans="1:1">
      <c r="A349" s="8"/>
    </row>
    <row r="350" spans="1:1">
      <c r="A350" s="8"/>
    </row>
    <row r="351" spans="1:1">
      <c r="A351" s="8"/>
    </row>
    <row r="352" spans="1:1">
      <c r="A352" s="8"/>
    </row>
    <row r="353" spans="1:1">
      <c r="A353" s="8"/>
    </row>
    <row r="354" spans="1:1">
      <c r="A354" s="8"/>
    </row>
    <row r="355" spans="1:1">
      <c r="A355" s="8"/>
    </row>
    <row r="356" spans="1:1">
      <c r="A356" s="8"/>
    </row>
    <row r="357" spans="1:1">
      <c r="A357" s="8"/>
    </row>
    <row r="358" spans="1:1">
      <c r="A358" s="8"/>
    </row>
    <row r="359" spans="1:1">
      <c r="A359" s="8"/>
    </row>
    <row r="360" spans="1:1">
      <c r="A360" s="8"/>
    </row>
    <row r="361" spans="1:1">
      <c r="A361" s="8"/>
    </row>
    <row r="362" spans="1:1">
      <c r="A362" s="8"/>
    </row>
    <row r="363" spans="1:1">
      <c r="A363" s="8"/>
    </row>
    <row r="364" spans="1:1">
      <c r="A364" s="8"/>
    </row>
    <row r="365" spans="1:1">
      <c r="A365" s="8"/>
    </row>
    <row r="366" spans="1:1">
      <c r="A366" s="8"/>
    </row>
    <row r="367" spans="1:1">
      <c r="A367" s="8"/>
    </row>
    <row r="368" spans="1:1">
      <c r="A368" s="8"/>
    </row>
    <row r="369" spans="1:1">
      <c r="A369" s="8"/>
    </row>
    <row r="370" spans="1:1">
      <c r="A370" s="8"/>
    </row>
    <row r="371" spans="1:1">
      <c r="A371" s="8"/>
    </row>
    <row r="372" spans="1:1">
      <c r="A372" s="8"/>
    </row>
    <row r="373" spans="1:1">
      <c r="A373" s="8"/>
    </row>
    <row r="374" spans="1:1">
      <c r="A374" s="8"/>
    </row>
    <row r="375" spans="1:1">
      <c r="A375" s="8"/>
    </row>
    <row r="376" spans="1:1">
      <c r="A376" s="8"/>
    </row>
    <row r="377" spans="1:1">
      <c r="A377" s="8"/>
    </row>
    <row r="378" spans="1:1">
      <c r="A378" s="8"/>
    </row>
    <row r="379" spans="1:1">
      <c r="A379" s="8"/>
    </row>
    <row r="380" spans="1:1">
      <c r="A380" s="8"/>
    </row>
    <row r="381" spans="1:1">
      <c r="A381" s="8"/>
    </row>
    <row r="382" spans="1:1">
      <c r="A382" s="8"/>
    </row>
    <row r="383" spans="1:1">
      <c r="A383" s="8"/>
    </row>
    <row r="384" spans="1:1">
      <c r="A384" s="8"/>
    </row>
    <row r="385" spans="1:1">
      <c r="A385" s="8"/>
    </row>
    <row r="386" spans="1:1">
      <c r="A386" s="8"/>
    </row>
    <row r="387" spans="1:1">
      <c r="A387" s="8"/>
    </row>
    <row r="388" spans="1:1">
      <c r="A388" s="8"/>
    </row>
    <row r="389" spans="1:1">
      <c r="A389" s="8"/>
    </row>
    <row r="390" spans="1:1">
      <c r="A390" s="8"/>
    </row>
    <row r="391" spans="1:1">
      <c r="A391" s="8"/>
    </row>
    <row r="392" spans="1:1">
      <c r="A392" s="8"/>
    </row>
    <row r="393" spans="1:1">
      <c r="A393" s="8"/>
    </row>
    <row r="394" spans="1:1">
      <c r="A394" s="8"/>
    </row>
    <row r="395" spans="1:1">
      <c r="A395" s="8"/>
    </row>
    <row r="396" spans="1:1">
      <c r="A396" s="8"/>
    </row>
    <row r="397" spans="1:1">
      <c r="A397" s="8"/>
    </row>
    <row r="398" spans="1:1">
      <c r="A398" s="8"/>
    </row>
    <row r="399" spans="1:1">
      <c r="A399" s="8"/>
    </row>
    <row r="400" spans="1:1">
      <c r="A400" s="8"/>
    </row>
    <row r="401" spans="1:1">
      <c r="A401" s="8"/>
    </row>
    <row r="402" spans="1:1">
      <c r="A402" s="8"/>
    </row>
    <row r="403" spans="1:1">
      <c r="A403" s="8"/>
    </row>
    <row r="404" spans="1:1">
      <c r="A404" s="8"/>
    </row>
    <row r="405" spans="1:1">
      <c r="A405" s="8"/>
    </row>
    <row r="406" spans="1:1">
      <c r="A406" s="8"/>
    </row>
    <row r="407" spans="1:1">
      <c r="A407" s="8"/>
    </row>
    <row r="408" spans="1:1">
      <c r="A408" s="8"/>
    </row>
    <row r="409" spans="1:1">
      <c r="A409" s="8"/>
    </row>
    <row r="410" spans="1:1">
      <c r="A410" s="8"/>
    </row>
    <row r="411" spans="1:1">
      <c r="A411" s="8"/>
    </row>
    <row r="412" spans="1:1">
      <c r="A412" s="8"/>
    </row>
    <row r="413" spans="1:1">
      <c r="A413" s="8"/>
    </row>
    <row r="414" spans="1:1">
      <c r="A414" s="8"/>
    </row>
    <row r="415" spans="1:1">
      <c r="A415" s="8"/>
    </row>
    <row r="416" spans="1:1">
      <c r="A416" s="8"/>
    </row>
    <row r="417" spans="1:1">
      <c r="A417" s="8"/>
    </row>
    <row r="418" spans="1:1">
      <c r="A418" s="8"/>
    </row>
    <row r="419" spans="1:1">
      <c r="A419" s="8"/>
    </row>
    <row r="420" spans="1:1">
      <c r="A420" s="8"/>
    </row>
  </sheetData>
  <mergeCells count="4">
    <mergeCell ref="C197:D197"/>
    <mergeCell ref="C198:D198"/>
    <mergeCell ref="A1:F1"/>
    <mergeCell ref="E197:G197"/>
  </mergeCells>
  <hyperlinks>
    <hyperlink ref="A193" r:id="rId1" display="https://www.dzo.com.ua/tenders/20078403"/>
  </hyperlinks>
  <pageMargins left="0.39370078740157483" right="0.39370078740157483" top="0.78740157480314965" bottom="0.39370078740157483" header="0.19685039370078741" footer="0.19685039370078741"/>
  <pageSetup paperSize="9" scale="89" fitToHeight="14" orientation="landscape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  <pageSetUpPr fitToPage="1"/>
  </sheetPr>
  <dimension ref="A1:Q143"/>
  <sheetViews>
    <sheetView view="pageBreakPreview" zoomScale="60" zoomScaleNormal="60" workbookViewId="0">
      <selection activeCell="AA8" sqref="AA8"/>
    </sheetView>
  </sheetViews>
  <sheetFormatPr defaultRowHeight="20.25"/>
  <cols>
    <col min="1" max="1" width="9.85546875" style="1" customWidth="1"/>
    <col min="2" max="2" width="26.140625" style="1" customWidth="1"/>
    <col min="3" max="3" width="11.28515625" style="1" customWidth="1"/>
    <col min="4" max="4" width="15.28515625" style="1" customWidth="1"/>
    <col min="5" max="10" width="18.42578125" style="1" customWidth="1"/>
    <col min="11" max="11" width="18.7109375" style="1" customWidth="1"/>
    <col min="12" max="12" width="19" style="1" customWidth="1"/>
    <col min="13" max="14" width="18.42578125" style="1" customWidth="1"/>
    <col min="15" max="16" width="19.42578125" style="1" customWidth="1"/>
    <col min="17" max="17" width="12.7109375" style="1" bestFit="1" customWidth="1"/>
    <col min="18" max="16384" width="9.140625" style="1"/>
  </cols>
  <sheetData>
    <row r="1" spans="1:17">
      <c r="A1" s="198"/>
      <c r="B1" s="105"/>
      <c r="C1" s="198"/>
      <c r="D1" s="198"/>
      <c r="E1" s="198"/>
      <c r="F1" s="198"/>
      <c r="G1" s="198"/>
      <c r="H1" s="198"/>
      <c r="I1" s="88"/>
      <c r="J1" s="88"/>
      <c r="P1" s="88"/>
    </row>
    <row r="2" spans="1:17" s="9" customFormat="1" ht="42.75" customHeight="1">
      <c r="B2" s="160"/>
      <c r="D2" s="256" t="s">
        <v>215</v>
      </c>
      <c r="E2" s="256"/>
      <c r="F2" s="256"/>
      <c r="G2" s="256"/>
      <c r="H2" s="256"/>
      <c r="I2" s="256"/>
      <c r="J2" s="256"/>
      <c r="K2" s="256"/>
      <c r="L2" s="256"/>
      <c r="M2" s="256"/>
    </row>
    <row r="3" spans="1:17">
      <c r="A3" s="89"/>
      <c r="B3" s="89"/>
      <c r="C3" s="89"/>
      <c r="D3" s="89"/>
      <c r="E3" s="90"/>
      <c r="F3" s="90"/>
      <c r="G3" s="90"/>
      <c r="H3" s="90"/>
      <c r="I3" s="90"/>
      <c r="J3" s="90"/>
      <c r="P3" s="88" t="s">
        <v>51</v>
      </c>
    </row>
    <row r="4" spans="1:17" ht="79.5" customHeight="1">
      <c r="A4" s="217" t="s">
        <v>8</v>
      </c>
      <c r="B4" s="217" t="s">
        <v>20</v>
      </c>
      <c r="C4" s="217"/>
      <c r="D4" s="217"/>
      <c r="E4" s="217" t="s">
        <v>132</v>
      </c>
      <c r="F4" s="217"/>
      <c r="G4" s="217" t="s">
        <v>250</v>
      </c>
      <c r="H4" s="217"/>
      <c r="I4" s="217" t="s">
        <v>133</v>
      </c>
      <c r="J4" s="217"/>
      <c r="K4" s="217" t="s">
        <v>249</v>
      </c>
      <c r="L4" s="217"/>
      <c r="M4" s="217" t="s">
        <v>134</v>
      </c>
      <c r="N4" s="217"/>
      <c r="O4" s="217"/>
      <c r="P4" s="217"/>
    </row>
    <row r="5" spans="1:17" ht="85.5" customHeight="1">
      <c r="A5" s="217"/>
      <c r="B5" s="217"/>
      <c r="C5" s="217"/>
      <c r="D5" s="217"/>
      <c r="E5" s="181" t="s">
        <v>391</v>
      </c>
      <c r="F5" s="181" t="s">
        <v>392</v>
      </c>
      <c r="G5" s="181" t="s">
        <v>391</v>
      </c>
      <c r="H5" s="181" t="s">
        <v>392</v>
      </c>
      <c r="I5" s="181" t="s">
        <v>391</v>
      </c>
      <c r="J5" s="181" t="s">
        <v>392</v>
      </c>
      <c r="K5" s="181" t="s">
        <v>391</v>
      </c>
      <c r="L5" s="181" t="s">
        <v>392</v>
      </c>
      <c r="M5" s="181" t="s">
        <v>391</v>
      </c>
      <c r="N5" s="181" t="s">
        <v>392</v>
      </c>
      <c r="O5" s="199" t="s">
        <v>109</v>
      </c>
      <c r="P5" s="199" t="s">
        <v>112</v>
      </c>
    </row>
    <row r="6" spans="1:17" ht="30" customHeight="1">
      <c r="A6" s="199">
        <v>1</v>
      </c>
      <c r="B6" s="217">
        <v>2</v>
      </c>
      <c r="C6" s="217"/>
      <c r="D6" s="217"/>
      <c r="E6" s="199">
        <v>4</v>
      </c>
      <c r="F6" s="199">
        <v>5</v>
      </c>
      <c r="G6" s="199">
        <v>7</v>
      </c>
      <c r="H6" s="199">
        <v>8</v>
      </c>
      <c r="I6" s="199">
        <v>10</v>
      </c>
      <c r="J6" s="199">
        <v>11</v>
      </c>
      <c r="K6" s="200">
        <v>13</v>
      </c>
      <c r="L6" s="200">
        <v>14</v>
      </c>
      <c r="M6" s="200">
        <v>16</v>
      </c>
      <c r="N6" s="200">
        <v>17</v>
      </c>
      <c r="O6" s="200">
        <v>18</v>
      </c>
      <c r="P6" s="200">
        <v>19</v>
      </c>
    </row>
    <row r="7" spans="1:17" ht="48" customHeight="1">
      <c r="A7" s="201" t="s">
        <v>85</v>
      </c>
      <c r="B7" s="257" t="s">
        <v>95</v>
      </c>
      <c r="C7" s="258"/>
      <c r="D7" s="258"/>
      <c r="E7" s="14">
        <f>SUM(E10:E26)</f>
        <v>0</v>
      </c>
      <c r="F7" s="14">
        <f t="shared" ref="F7" si="0">SUM(F10:F26)</f>
        <v>0</v>
      </c>
      <c r="G7" s="14">
        <f>SUM(G8:G26)</f>
        <v>3000.6</v>
      </c>
      <c r="H7" s="14">
        <f>SUM(H10:H42)</f>
        <v>3000.7</v>
      </c>
      <c r="I7" s="14">
        <f t="shared" ref="I7:L7" si="1">SUM(I10:I42)</f>
        <v>0</v>
      </c>
      <c r="J7" s="14">
        <f t="shared" si="1"/>
        <v>98.7</v>
      </c>
      <c r="K7" s="14">
        <f t="shared" si="1"/>
        <v>0</v>
      </c>
      <c r="L7" s="14">
        <f t="shared" si="1"/>
        <v>7565.3</v>
      </c>
      <c r="M7" s="14">
        <f>E7+G7+I7+K7</f>
        <v>3000.6</v>
      </c>
      <c r="N7" s="14">
        <f>F7+H7+J7+L7</f>
        <v>10664.7</v>
      </c>
      <c r="O7" s="14">
        <f>N7-M7</f>
        <v>7664.1</v>
      </c>
      <c r="P7" s="14">
        <f>(N7/M7)*100</f>
        <v>355.41891621675671</v>
      </c>
      <c r="Q7" s="79"/>
    </row>
    <row r="8" spans="1:17" ht="39" customHeight="1">
      <c r="A8" s="201"/>
      <c r="B8" s="245" t="s">
        <v>443</v>
      </c>
      <c r="C8" s="246"/>
      <c r="D8" s="247"/>
      <c r="E8" s="14"/>
      <c r="F8" s="14"/>
      <c r="G8" s="170">
        <v>1006.6</v>
      </c>
      <c r="H8" s="14"/>
      <c r="I8" s="14"/>
      <c r="J8" s="14"/>
      <c r="K8" s="14"/>
      <c r="L8" s="14"/>
      <c r="M8" s="14"/>
      <c r="N8" s="18">
        <f t="shared" ref="N8:N42" si="2">F8+H8+J8+L8</f>
        <v>0</v>
      </c>
      <c r="O8" s="18">
        <f t="shared" ref="O8:O71" si="3">N8-M8</f>
        <v>0</v>
      </c>
      <c r="P8" s="91" t="e">
        <f t="shared" ref="P8:P71" si="4">(N8/M8)*100</f>
        <v>#DIV/0!</v>
      </c>
      <c r="Q8" s="79"/>
    </row>
    <row r="9" spans="1:17" ht="48" customHeight="1">
      <c r="A9" s="201"/>
      <c r="B9" s="245" t="s">
        <v>444</v>
      </c>
      <c r="C9" s="246"/>
      <c r="D9" s="247"/>
      <c r="E9" s="14"/>
      <c r="F9" s="14"/>
      <c r="G9" s="170">
        <v>1994</v>
      </c>
      <c r="H9" s="14"/>
      <c r="I9" s="14"/>
      <c r="J9" s="14"/>
      <c r="K9" s="14"/>
      <c r="L9" s="14"/>
      <c r="M9" s="14"/>
      <c r="N9" s="18">
        <f t="shared" si="2"/>
        <v>0</v>
      </c>
      <c r="O9" s="18">
        <f t="shared" si="3"/>
        <v>0</v>
      </c>
      <c r="P9" s="91" t="e">
        <f t="shared" si="4"/>
        <v>#DIV/0!</v>
      </c>
      <c r="Q9" s="79"/>
    </row>
    <row r="10" spans="1:17" ht="31.5" customHeight="1">
      <c r="A10" s="201"/>
      <c r="B10" s="242" t="s">
        <v>371</v>
      </c>
      <c r="C10" s="243"/>
      <c r="D10" s="244"/>
      <c r="E10" s="110"/>
      <c r="F10" s="110"/>
      <c r="G10" s="110"/>
      <c r="H10" s="110"/>
      <c r="I10" s="110"/>
      <c r="J10" s="110"/>
      <c r="K10" s="110"/>
      <c r="L10" s="110">
        <v>12.6</v>
      </c>
      <c r="M10" s="14"/>
      <c r="N10" s="18">
        <f t="shared" si="2"/>
        <v>12.6</v>
      </c>
      <c r="O10" s="18">
        <f t="shared" si="3"/>
        <v>12.6</v>
      </c>
      <c r="P10" s="91" t="e">
        <f t="shared" si="4"/>
        <v>#DIV/0!</v>
      </c>
      <c r="Q10" s="79"/>
    </row>
    <row r="11" spans="1:17" ht="34.5" customHeight="1">
      <c r="A11" s="201"/>
      <c r="B11" s="242" t="s">
        <v>353</v>
      </c>
      <c r="C11" s="243"/>
      <c r="D11" s="244"/>
      <c r="E11" s="110"/>
      <c r="F11" s="110"/>
      <c r="G11" s="110"/>
      <c r="H11" s="110"/>
      <c r="I11" s="110"/>
      <c r="J11" s="110"/>
      <c r="K11" s="110"/>
      <c r="L11" s="110">
        <v>30.6</v>
      </c>
      <c r="M11" s="14"/>
      <c r="N11" s="18">
        <f t="shared" si="2"/>
        <v>30.6</v>
      </c>
      <c r="O11" s="18">
        <f t="shared" si="3"/>
        <v>30.6</v>
      </c>
      <c r="P11" s="91" t="e">
        <f t="shared" si="4"/>
        <v>#DIV/0!</v>
      </c>
      <c r="Q11" s="79"/>
    </row>
    <row r="12" spans="1:17" ht="29.25" customHeight="1">
      <c r="A12" s="201"/>
      <c r="B12" s="242" t="s">
        <v>372</v>
      </c>
      <c r="C12" s="243"/>
      <c r="D12" s="244"/>
      <c r="E12" s="110"/>
      <c r="F12" s="110"/>
      <c r="G12" s="110"/>
      <c r="H12" s="110"/>
      <c r="I12" s="110"/>
      <c r="J12" s="110"/>
      <c r="K12" s="110"/>
      <c r="L12" s="110">
        <v>27.9</v>
      </c>
      <c r="M12" s="14"/>
      <c r="N12" s="18">
        <f t="shared" si="2"/>
        <v>27.9</v>
      </c>
      <c r="O12" s="18">
        <f t="shared" si="3"/>
        <v>27.9</v>
      </c>
      <c r="P12" s="91" t="e">
        <f t="shared" si="4"/>
        <v>#DIV/0!</v>
      </c>
      <c r="Q12" s="79"/>
    </row>
    <row r="13" spans="1:17" ht="30.75" customHeight="1">
      <c r="A13" s="201"/>
      <c r="B13" s="242" t="s">
        <v>373</v>
      </c>
      <c r="C13" s="243"/>
      <c r="D13" s="244"/>
      <c r="E13" s="110"/>
      <c r="F13" s="110"/>
      <c r="G13" s="110"/>
      <c r="H13" s="110"/>
      <c r="I13" s="110"/>
      <c r="J13" s="110"/>
      <c r="K13" s="110"/>
      <c r="L13" s="110">
        <v>118.4</v>
      </c>
      <c r="M13" s="14"/>
      <c r="N13" s="18">
        <f t="shared" si="2"/>
        <v>118.4</v>
      </c>
      <c r="O13" s="18">
        <f t="shared" si="3"/>
        <v>118.4</v>
      </c>
      <c r="P13" s="91" t="e">
        <f t="shared" si="4"/>
        <v>#DIV/0!</v>
      </c>
      <c r="Q13" s="79"/>
    </row>
    <row r="14" spans="1:17" ht="31.5" customHeight="1">
      <c r="A14" s="201"/>
      <c r="B14" s="242" t="s">
        <v>374</v>
      </c>
      <c r="C14" s="243"/>
      <c r="D14" s="244"/>
      <c r="E14" s="110"/>
      <c r="F14" s="110"/>
      <c r="G14" s="110"/>
      <c r="H14" s="110"/>
      <c r="I14" s="110"/>
      <c r="J14" s="110"/>
      <c r="K14" s="110"/>
      <c r="L14" s="110">
        <v>13.9</v>
      </c>
      <c r="M14" s="14"/>
      <c r="N14" s="18">
        <f t="shared" si="2"/>
        <v>13.9</v>
      </c>
      <c r="O14" s="18">
        <f t="shared" si="3"/>
        <v>13.9</v>
      </c>
      <c r="P14" s="91" t="e">
        <f t="shared" si="4"/>
        <v>#DIV/0!</v>
      </c>
      <c r="Q14" s="79"/>
    </row>
    <row r="15" spans="1:17" ht="35.25" customHeight="1">
      <c r="A15" s="201"/>
      <c r="B15" s="242" t="s">
        <v>375</v>
      </c>
      <c r="C15" s="243"/>
      <c r="D15" s="244"/>
      <c r="E15" s="110"/>
      <c r="F15" s="110"/>
      <c r="G15" s="110"/>
      <c r="H15" s="110"/>
      <c r="I15" s="110"/>
      <c r="J15" s="110"/>
      <c r="K15" s="110"/>
      <c r="L15" s="110">
        <v>41.8</v>
      </c>
      <c r="M15" s="14"/>
      <c r="N15" s="18">
        <f t="shared" si="2"/>
        <v>41.8</v>
      </c>
      <c r="O15" s="18">
        <f t="shared" si="3"/>
        <v>41.8</v>
      </c>
      <c r="P15" s="91" t="e">
        <f t="shared" si="4"/>
        <v>#DIV/0!</v>
      </c>
      <c r="Q15" s="79"/>
    </row>
    <row r="16" spans="1:17" ht="33" customHeight="1">
      <c r="A16" s="201"/>
      <c r="B16" s="242" t="s">
        <v>376</v>
      </c>
      <c r="C16" s="243"/>
      <c r="D16" s="244"/>
      <c r="E16" s="110"/>
      <c r="F16" s="110"/>
      <c r="G16" s="110"/>
      <c r="H16" s="110"/>
      <c r="I16" s="110"/>
      <c r="J16" s="110"/>
      <c r="K16" s="110"/>
      <c r="L16" s="110">
        <v>55.7</v>
      </c>
      <c r="M16" s="14"/>
      <c r="N16" s="18">
        <f t="shared" si="2"/>
        <v>55.7</v>
      </c>
      <c r="O16" s="18">
        <f t="shared" si="3"/>
        <v>55.7</v>
      </c>
      <c r="P16" s="91" t="e">
        <f t="shared" si="4"/>
        <v>#DIV/0!</v>
      </c>
      <c r="Q16" s="79"/>
    </row>
    <row r="17" spans="1:17" ht="30.75" customHeight="1">
      <c r="A17" s="201"/>
      <c r="B17" s="242" t="s">
        <v>377</v>
      </c>
      <c r="C17" s="243"/>
      <c r="D17" s="244"/>
      <c r="E17" s="110"/>
      <c r="F17" s="110"/>
      <c r="G17" s="110"/>
      <c r="H17" s="110"/>
      <c r="I17" s="110"/>
      <c r="J17" s="110"/>
      <c r="K17" s="110"/>
      <c r="L17" s="110">
        <v>33.4</v>
      </c>
      <c r="M17" s="14"/>
      <c r="N17" s="18">
        <f t="shared" si="2"/>
        <v>33.4</v>
      </c>
      <c r="O17" s="18">
        <f t="shared" si="3"/>
        <v>33.4</v>
      </c>
      <c r="P17" s="91" t="e">
        <f t="shared" si="4"/>
        <v>#DIV/0!</v>
      </c>
      <c r="Q17" s="79"/>
    </row>
    <row r="18" spans="1:17" ht="48" customHeight="1">
      <c r="A18" s="201"/>
      <c r="B18" s="242" t="s">
        <v>378</v>
      </c>
      <c r="C18" s="243"/>
      <c r="D18" s="244"/>
      <c r="E18" s="110"/>
      <c r="F18" s="110"/>
      <c r="G18" s="110"/>
      <c r="H18" s="110"/>
      <c r="I18" s="110"/>
      <c r="J18" s="110"/>
      <c r="K18" s="110"/>
      <c r="L18" s="110">
        <v>8.4</v>
      </c>
      <c r="M18" s="14"/>
      <c r="N18" s="18">
        <f t="shared" si="2"/>
        <v>8.4</v>
      </c>
      <c r="O18" s="18">
        <f t="shared" si="3"/>
        <v>8.4</v>
      </c>
      <c r="P18" s="91" t="e">
        <f t="shared" si="4"/>
        <v>#DIV/0!</v>
      </c>
      <c r="Q18" s="79"/>
    </row>
    <row r="19" spans="1:17" ht="30.75" customHeight="1">
      <c r="A19" s="201"/>
      <c r="B19" s="242" t="s">
        <v>379</v>
      </c>
      <c r="C19" s="243"/>
      <c r="D19" s="244"/>
      <c r="E19" s="110"/>
      <c r="F19" s="110"/>
      <c r="G19" s="110"/>
      <c r="H19" s="110"/>
      <c r="I19" s="110"/>
      <c r="J19" s="110"/>
      <c r="K19" s="110"/>
      <c r="L19" s="110">
        <v>75.2</v>
      </c>
      <c r="M19" s="14"/>
      <c r="N19" s="18">
        <f t="shared" si="2"/>
        <v>75.2</v>
      </c>
      <c r="O19" s="18">
        <f t="shared" si="3"/>
        <v>75.2</v>
      </c>
      <c r="P19" s="91" t="e">
        <f t="shared" si="4"/>
        <v>#DIV/0!</v>
      </c>
      <c r="Q19" s="79"/>
    </row>
    <row r="20" spans="1:17" ht="30.75" customHeight="1">
      <c r="A20" s="201"/>
      <c r="B20" s="242" t="s">
        <v>380</v>
      </c>
      <c r="C20" s="243"/>
      <c r="D20" s="244"/>
      <c r="E20" s="110"/>
      <c r="F20" s="110"/>
      <c r="G20" s="110"/>
      <c r="H20" s="110"/>
      <c r="I20" s="110"/>
      <c r="J20" s="110"/>
      <c r="K20" s="110"/>
      <c r="L20" s="110">
        <v>224.1</v>
      </c>
      <c r="M20" s="14"/>
      <c r="N20" s="18">
        <f t="shared" si="2"/>
        <v>224.1</v>
      </c>
      <c r="O20" s="18">
        <f t="shared" si="3"/>
        <v>224.1</v>
      </c>
      <c r="P20" s="91" t="e">
        <f t="shared" si="4"/>
        <v>#DIV/0!</v>
      </c>
      <c r="Q20" s="79"/>
    </row>
    <row r="21" spans="1:17" ht="32.25" customHeight="1">
      <c r="A21" s="201"/>
      <c r="B21" s="242" t="s">
        <v>381</v>
      </c>
      <c r="C21" s="243"/>
      <c r="D21" s="244"/>
      <c r="E21" s="110"/>
      <c r="F21" s="110"/>
      <c r="G21" s="110"/>
      <c r="H21" s="110"/>
      <c r="I21" s="110"/>
      <c r="J21" s="110">
        <v>98.7</v>
      </c>
      <c r="K21" s="110"/>
      <c r="L21" s="110"/>
      <c r="M21" s="14"/>
      <c r="N21" s="18">
        <f t="shared" si="2"/>
        <v>98.7</v>
      </c>
      <c r="O21" s="18">
        <f t="shared" si="3"/>
        <v>98.7</v>
      </c>
      <c r="P21" s="91" t="e">
        <f t="shared" si="4"/>
        <v>#DIV/0!</v>
      </c>
      <c r="Q21" s="79"/>
    </row>
    <row r="22" spans="1:17" ht="48" customHeight="1">
      <c r="A22" s="201"/>
      <c r="B22" s="242" t="s">
        <v>382</v>
      </c>
      <c r="C22" s="243"/>
      <c r="D22" s="244"/>
      <c r="E22" s="110"/>
      <c r="F22" s="110"/>
      <c r="G22" s="110"/>
      <c r="H22" s="110"/>
      <c r="I22" s="110"/>
      <c r="J22" s="110"/>
      <c r="K22" s="110"/>
      <c r="L22" s="110">
        <v>95</v>
      </c>
      <c r="M22" s="14"/>
      <c r="N22" s="18">
        <f t="shared" si="2"/>
        <v>95</v>
      </c>
      <c r="O22" s="18">
        <f t="shared" si="3"/>
        <v>95</v>
      </c>
      <c r="P22" s="91" t="e">
        <f t="shared" si="4"/>
        <v>#DIV/0!</v>
      </c>
      <c r="Q22" s="79"/>
    </row>
    <row r="23" spans="1:17" ht="48" customHeight="1">
      <c r="A23" s="201"/>
      <c r="B23" s="242" t="s">
        <v>383</v>
      </c>
      <c r="C23" s="243"/>
      <c r="D23" s="244"/>
      <c r="E23" s="110"/>
      <c r="F23" s="110"/>
      <c r="G23" s="110"/>
      <c r="H23" s="110"/>
      <c r="I23" s="110"/>
      <c r="J23" s="110"/>
      <c r="K23" s="110"/>
      <c r="L23" s="110">
        <v>93</v>
      </c>
      <c r="M23" s="14"/>
      <c r="N23" s="18">
        <f t="shared" si="2"/>
        <v>93</v>
      </c>
      <c r="O23" s="18">
        <f t="shared" si="3"/>
        <v>93</v>
      </c>
      <c r="P23" s="91" t="e">
        <f t="shared" si="4"/>
        <v>#DIV/0!</v>
      </c>
      <c r="Q23" s="79"/>
    </row>
    <row r="24" spans="1:17" ht="30.75" customHeight="1">
      <c r="A24" s="201"/>
      <c r="B24" s="242" t="s">
        <v>384</v>
      </c>
      <c r="C24" s="243"/>
      <c r="D24" s="244"/>
      <c r="E24" s="110"/>
      <c r="F24" s="110"/>
      <c r="G24" s="110"/>
      <c r="H24" s="110"/>
      <c r="I24" s="110"/>
      <c r="J24" s="110"/>
      <c r="K24" s="110"/>
      <c r="L24" s="110">
        <v>53.3</v>
      </c>
      <c r="M24" s="14"/>
      <c r="N24" s="18">
        <f t="shared" si="2"/>
        <v>53.3</v>
      </c>
      <c r="O24" s="18">
        <f t="shared" si="3"/>
        <v>53.3</v>
      </c>
      <c r="P24" s="91" t="e">
        <f t="shared" si="4"/>
        <v>#DIV/0!</v>
      </c>
      <c r="Q24" s="79"/>
    </row>
    <row r="25" spans="1:17" ht="27" customHeight="1">
      <c r="A25" s="201"/>
      <c r="B25" s="242" t="s">
        <v>385</v>
      </c>
      <c r="C25" s="243"/>
      <c r="D25" s="244"/>
      <c r="E25" s="110"/>
      <c r="F25" s="110"/>
      <c r="G25" s="110"/>
      <c r="H25" s="110"/>
      <c r="I25" s="110"/>
      <c r="J25" s="110"/>
      <c r="K25" s="110"/>
      <c r="L25" s="110">
        <v>46.5</v>
      </c>
      <c r="M25" s="14"/>
      <c r="N25" s="18">
        <f t="shared" si="2"/>
        <v>46.5</v>
      </c>
      <c r="O25" s="18">
        <f t="shared" si="3"/>
        <v>46.5</v>
      </c>
      <c r="P25" s="91" t="e">
        <f t="shared" si="4"/>
        <v>#DIV/0!</v>
      </c>
      <c r="Q25" s="79"/>
    </row>
    <row r="26" spans="1:17" ht="63" customHeight="1">
      <c r="A26" s="201"/>
      <c r="B26" s="242" t="s">
        <v>386</v>
      </c>
      <c r="C26" s="243"/>
      <c r="D26" s="244"/>
      <c r="E26" s="110"/>
      <c r="F26" s="110"/>
      <c r="G26" s="110"/>
      <c r="H26" s="110"/>
      <c r="I26" s="110"/>
      <c r="J26" s="110"/>
      <c r="K26" s="110"/>
      <c r="L26" s="110">
        <v>567.79999999999995</v>
      </c>
      <c r="M26" s="14"/>
      <c r="N26" s="18">
        <f t="shared" si="2"/>
        <v>567.79999999999995</v>
      </c>
      <c r="O26" s="18">
        <f t="shared" si="3"/>
        <v>567.79999999999995</v>
      </c>
      <c r="P26" s="91" t="e">
        <f t="shared" si="4"/>
        <v>#DIV/0!</v>
      </c>
      <c r="Q26" s="79"/>
    </row>
    <row r="27" spans="1:17" ht="48" customHeight="1">
      <c r="A27" s="201"/>
      <c r="B27" s="242" t="s">
        <v>462</v>
      </c>
      <c r="C27" s="243"/>
      <c r="D27" s="244"/>
      <c r="E27" s="110"/>
      <c r="F27" s="110"/>
      <c r="G27" s="110"/>
      <c r="H27" s="110"/>
      <c r="I27" s="110"/>
      <c r="J27" s="110"/>
      <c r="K27" s="110"/>
      <c r="L27" s="110">
        <v>3215</v>
      </c>
      <c r="M27" s="14"/>
      <c r="N27" s="18">
        <f t="shared" si="2"/>
        <v>3215</v>
      </c>
      <c r="O27" s="18">
        <f t="shared" si="3"/>
        <v>3215</v>
      </c>
      <c r="P27" s="91" t="e">
        <f t="shared" si="4"/>
        <v>#DIV/0!</v>
      </c>
      <c r="Q27" s="79"/>
    </row>
    <row r="28" spans="1:17" ht="27.75" customHeight="1">
      <c r="A28" s="201"/>
      <c r="B28" s="242" t="s">
        <v>449</v>
      </c>
      <c r="C28" s="243"/>
      <c r="D28" s="244"/>
      <c r="E28" s="110"/>
      <c r="F28" s="110"/>
      <c r="G28" s="110"/>
      <c r="H28" s="110"/>
      <c r="I28" s="110"/>
      <c r="J28" s="110"/>
      <c r="K28" s="110"/>
      <c r="L28" s="110">
        <v>315</v>
      </c>
      <c r="M28" s="14"/>
      <c r="N28" s="18">
        <f t="shared" si="2"/>
        <v>315</v>
      </c>
      <c r="O28" s="18">
        <f t="shared" si="3"/>
        <v>315</v>
      </c>
      <c r="P28" s="91" t="e">
        <f t="shared" si="4"/>
        <v>#DIV/0!</v>
      </c>
      <c r="Q28" s="79"/>
    </row>
    <row r="29" spans="1:17" ht="24.75" customHeight="1">
      <c r="A29" s="201"/>
      <c r="B29" s="242" t="s">
        <v>450</v>
      </c>
      <c r="C29" s="243"/>
      <c r="D29" s="244"/>
      <c r="E29" s="110"/>
      <c r="F29" s="110"/>
      <c r="G29" s="110"/>
      <c r="H29" s="110"/>
      <c r="I29" s="110"/>
      <c r="J29" s="110"/>
      <c r="K29" s="110"/>
      <c r="L29" s="110">
        <v>101.6</v>
      </c>
      <c r="M29" s="14"/>
      <c r="N29" s="18">
        <f t="shared" si="2"/>
        <v>101.6</v>
      </c>
      <c r="O29" s="18">
        <f t="shared" si="3"/>
        <v>101.6</v>
      </c>
      <c r="P29" s="91" t="e">
        <f t="shared" si="4"/>
        <v>#DIV/0!</v>
      </c>
      <c r="Q29" s="79"/>
    </row>
    <row r="30" spans="1:17" ht="42" customHeight="1">
      <c r="A30" s="201"/>
      <c r="B30" s="242" t="s">
        <v>451</v>
      </c>
      <c r="C30" s="243"/>
      <c r="D30" s="244"/>
      <c r="E30" s="110"/>
      <c r="F30" s="110"/>
      <c r="G30" s="110"/>
      <c r="H30" s="110"/>
      <c r="I30" s="110"/>
      <c r="J30" s="110"/>
      <c r="K30" s="110"/>
      <c r="L30" s="110">
        <v>116.2</v>
      </c>
      <c r="M30" s="14"/>
      <c r="N30" s="18">
        <f t="shared" si="2"/>
        <v>116.2</v>
      </c>
      <c r="O30" s="18">
        <f t="shared" si="3"/>
        <v>116.2</v>
      </c>
      <c r="P30" s="91" t="e">
        <f t="shared" si="4"/>
        <v>#DIV/0!</v>
      </c>
      <c r="Q30" s="79"/>
    </row>
    <row r="31" spans="1:17" ht="26.25" customHeight="1">
      <c r="A31" s="201"/>
      <c r="B31" s="242" t="s">
        <v>452</v>
      </c>
      <c r="C31" s="243"/>
      <c r="D31" s="244"/>
      <c r="E31" s="110"/>
      <c r="F31" s="110"/>
      <c r="G31" s="110"/>
      <c r="H31" s="110"/>
      <c r="I31" s="110"/>
      <c r="J31" s="110"/>
      <c r="K31" s="110"/>
      <c r="L31" s="110">
        <v>190.9</v>
      </c>
      <c r="M31" s="14"/>
      <c r="N31" s="18">
        <f t="shared" si="2"/>
        <v>190.9</v>
      </c>
      <c r="O31" s="18">
        <f t="shared" si="3"/>
        <v>190.9</v>
      </c>
      <c r="P31" s="91" t="e">
        <f t="shared" si="4"/>
        <v>#DIV/0!</v>
      </c>
      <c r="Q31" s="79"/>
    </row>
    <row r="32" spans="1:17" ht="31.5" customHeight="1">
      <c r="A32" s="201"/>
      <c r="B32" s="242" t="s">
        <v>453</v>
      </c>
      <c r="C32" s="243"/>
      <c r="D32" s="244"/>
      <c r="E32" s="110"/>
      <c r="F32" s="110"/>
      <c r="G32" s="110"/>
      <c r="H32" s="110"/>
      <c r="I32" s="110"/>
      <c r="J32" s="110"/>
      <c r="K32" s="110"/>
      <c r="L32" s="110">
        <v>185.3</v>
      </c>
      <c r="M32" s="14"/>
      <c r="N32" s="18">
        <f t="shared" si="2"/>
        <v>185.3</v>
      </c>
      <c r="O32" s="18">
        <f t="shared" si="3"/>
        <v>185.3</v>
      </c>
      <c r="P32" s="91" t="e">
        <f t="shared" si="4"/>
        <v>#DIV/0!</v>
      </c>
      <c r="Q32" s="79"/>
    </row>
    <row r="33" spans="1:17" ht="32.25" customHeight="1">
      <c r="A33" s="201"/>
      <c r="B33" s="242" t="s">
        <v>454</v>
      </c>
      <c r="C33" s="243"/>
      <c r="D33" s="244"/>
      <c r="E33" s="110"/>
      <c r="F33" s="110"/>
      <c r="G33" s="110"/>
      <c r="H33" s="110"/>
      <c r="I33" s="110"/>
      <c r="J33" s="110"/>
      <c r="K33" s="110"/>
      <c r="L33" s="110">
        <v>175</v>
      </c>
      <c r="M33" s="14"/>
      <c r="N33" s="18">
        <f t="shared" si="2"/>
        <v>175</v>
      </c>
      <c r="O33" s="18">
        <f t="shared" si="3"/>
        <v>175</v>
      </c>
      <c r="P33" s="91" t="e">
        <f t="shared" si="4"/>
        <v>#DIV/0!</v>
      </c>
      <c r="Q33" s="79"/>
    </row>
    <row r="34" spans="1:17" ht="44.25" customHeight="1">
      <c r="A34" s="201"/>
      <c r="B34" s="242" t="s">
        <v>463</v>
      </c>
      <c r="C34" s="243"/>
      <c r="D34" s="244"/>
      <c r="E34" s="110"/>
      <c r="F34" s="110"/>
      <c r="G34" s="110"/>
      <c r="H34" s="110"/>
      <c r="I34" s="110"/>
      <c r="J34" s="110"/>
      <c r="K34" s="110"/>
      <c r="L34" s="110">
        <v>142.69999999999999</v>
      </c>
      <c r="M34" s="14"/>
      <c r="N34" s="18">
        <f t="shared" si="2"/>
        <v>142.69999999999999</v>
      </c>
      <c r="O34" s="18">
        <f t="shared" si="3"/>
        <v>142.69999999999999</v>
      </c>
      <c r="P34" s="91" t="e">
        <f t="shared" si="4"/>
        <v>#DIV/0!</v>
      </c>
      <c r="Q34" s="79"/>
    </row>
    <row r="35" spans="1:17" ht="35.25" customHeight="1">
      <c r="A35" s="201"/>
      <c r="B35" s="242" t="s">
        <v>455</v>
      </c>
      <c r="C35" s="243"/>
      <c r="D35" s="244"/>
      <c r="E35" s="110"/>
      <c r="F35" s="110"/>
      <c r="G35" s="110"/>
      <c r="H35" s="110"/>
      <c r="I35" s="110"/>
      <c r="J35" s="110"/>
      <c r="K35" s="110"/>
      <c r="L35" s="110">
        <v>40</v>
      </c>
      <c r="M35" s="14"/>
      <c r="N35" s="18">
        <f t="shared" si="2"/>
        <v>40</v>
      </c>
      <c r="O35" s="18">
        <f t="shared" si="3"/>
        <v>40</v>
      </c>
      <c r="P35" s="91" t="e">
        <f t="shared" si="4"/>
        <v>#DIV/0!</v>
      </c>
      <c r="Q35" s="79"/>
    </row>
    <row r="36" spans="1:17" ht="42" customHeight="1">
      <c r="A36" s="201"/>
      <c r="B36" s="242" t="s">
        <v>456</v>
      </c>
      <c r="C36" s="243"/>
      <c r="D36" s="244"/>
      <c r="E36" s="110"/>
      <c r="F36" s="110"/>
      <c r="G36" s="110"/>
      <c r="H36" s="110">
        <v>1994</v>
      </c>
      <c r="I36" s="110"/>
      <c r="J36" s="110"/>
      <c r="K36" s="110"/>
      <c r="L36" s="110"/>
      <c r="M36" s="14"/>
      <c r="N36" s="18">
        <f t="shared" si="2"/>
        <v>1994</v>
      </c>
      <c r="O36" s="18">
        <f t="shared" si="3"/>
        <v>1994</v>
      </c>
      <c r="P36" s="91" t="e">
        <f t="shared" si="4"/>
        <v>#DIV/0!</v>
      </c>
      <c r="Q36" s="79"/>
    </row>
    <row r="37" spans="1:17" ht="40.5" customHeight="1">
      <c r="A37" s="201"/>
      <c r="B37" s="242" t="s">
        <v>457</v>
      </c>
      <c r="C37" s="243"/>
      <c r="D37" s="244"/>
      <c r="E37" s="110"/>
      <c r="F37" s="110"/>
      <c r="G37" s="110"/>
      <c r="H37" s="110"/>
      <c r="I37" s="110"/>
      <c r="J37" s="110"/>
      <c r="K37" s="110"/>
      <c r="L37" s="110">
        <v>504</v>
      </c>
      <c r="M37" s="14"/>
      <c r="N37" s="18">
        <f t="shared" si="2"/>
        <v>504</v>
      </c>
      <c r="O37" s="18">
        <f t="shared" si="3"/>
        <v>504</v>
      </c>
      <c r="P37" s="91" t="e">
        <f t="shared" si="4"/>
        <v>#DIV/0!</v>
      </c>
      <c r="Q37" s="79"/>
    </row>
    <row r="38" spans="1:17" ht="42" customHeight="1">
      <c r="A38" s="201"/>
      <c r="B38" s="242" t="s">
        <v>464</v>
      </c>
      <c r="C38" s="243"/>
      <c r="D38" s="244"/>
      <c r="E38" s="110"/>
      <c r="F38" s="110"/>
      <c r="G38" s="110"/>
      <c r="H38" s="110"/>
      <c r="I38" s="110"/>
      <c r="J38" s="110"/>
      <c r="K38" s="110"/>
      <c r="L38" s="110">
        <v>51.8</v>
      </c>
      <c r="M38" s="14"/>
      <c r="N38" s="18">
        <f t="shared" si="2"/>
        <v>51.8</v>
      </c>
      <c r="O38" s="18">
        <f t="shared" si="3"/>
        <v>51.8</v>
      </c>
      <c r="P38" s="91" t="e">
        <f t="shared" si="4"/>
        <v>#DIV/0!</v>
      </c>
      <c r="Q38" s="79"/>
    </row>
    <row r="39" spans="1:17" ht="33" customHeight="1">
      <c r="A39" s="201"/>
      <c r="B39" s="242" t="s">
        <v>458</v>
      </c>
      <c r="C39" s="243"/>
      <c r="D39" s="244"/>
      <c r="E39" s="110"/>
      <c r="F39" s="110"/>
      <c r="G39" s="110"/>
      <c r="H39" s="110"/>
      <c r="I39" s="110"/>
      <c r="J39" s="110"/>
      <c r="K39" s="110"/>
      <c r="L39" s="110">
        <v>28.4</v>
      </c>
      <c r="M39" s="14"/>
      <c r="N39" s="18">
        <f t="shared" si="2"/>
        <v>28.4</v>
      </c>
      <c r="O39" s="18">
        <f t="shared" si="3"/>
        <v>28.4</v>
      </c>
      <c r="P39" s="91" t="e">
        <f t="shared" si="4"/>
        <v>#DIV/0!</v>
      </c>
      <c r="Q39" s="79"/>
    </row>
    <row r="40" spans="1:17" ht="33" customHeight="1">
      <c r="A40" s="201"/>
      <c r="B40" s="242" t="s">
        <v>459</v>
      </c>
      <c r="C40" s="243"/>
      <c r="D40" s="244"/>
      <c r="E40" s="110"/>
      <c r="F40" s="110"/>
      <c r="G40" s="110"/>
      <c r="H40" s="110">
        <v>1006.7</v>
      </c>
      <c r="I40" s="110"/>
      <c r="J40" s="110"/>
      <c r="K40" s="110"/>
      <c r="L40" s="110"/>
      <c r="M40" s="14"/>
      <c r="N40" s="18">
        <f t="shared" si="2"/>
        <v>1006.7</v>
      </c>
      <c r="O40" s="18">
        <f t="shared" si="3"/>
        <v>1006.7</v>
      </c>
      <c r="P40" s="91" t="e">
        <f t="shared" si="4"/>
        <v>#DIV/0!</v>
      </c>
      <c r="Q40" s="79"/>
    </row>
    <row r="41" spans="1:17" ht="44.25" customHeight="1">
      <c r="A41" s="201"/>
      <c r="B41" s="242" t="s">
        <v>460</v>
      </c>
      <c r="C41" s="243"/>
      <c r="D41" s="244"/>
      <c r="E41" s="110"/>
      <c r="F41" s="110"/>
      <c r="G41" s="110"/>
      <c r="H41" s="110"/>
      <c r="I41" s="110"/>
      <c r="J41" s="110"/>
      <c r="K41" s="110"/>
      <c r="L41" s="110">
        <v>925.5</v>
      </c>
      <c r="M41" s="14"/>
      <c r="N41" s="18">
        <f t="shared" si="2"/>
        <v>925.5</v>
      </c>
      <c r="O41" s="18">
        <f t="shared" si="3"/>
        <v>925.5</v>
      </c>
      <c r="P41" s="91" t="e">
        <f t="shared" si="4"/>
        <v>#DIV/0!</v>
      </c>
      <c r="Q41" s="79"/>
    </row>
    <row r="42" spans="1:17" ht="48" customHeight="1">
      <c r="A42" s="201"/>
      <c r="B42" s="242" t="s">
        <v>461</v>
      </c>
      <c r="C42" s="243"/>
      <c r="D42" s="244"/>
      <c r="E42" s="110"/>
      <c r="F42" s="110"/>
      <c r="G42" s="110"/>
      <c r="H42" s="110"/>
      <c r="I42" s="110"/>
      <c r="J42" s="110"/>
      <c r="K42" s="110"/>
      <c r="L42" s="110">
        <v>76.3</v>
      </c>
      <c r="M42" s="14"/>
      <c r="N42" s="18">
        <f t="shared" si="2"/>
        <v>76.3</v>
      </c>
      <c r="O42" s="18">
        <f t="shared" si="3"/>
        <v>76.3</v>
      </c>
      <c r="P42" s="91" t="e">
        <f t="shared" si="4"/>
        <v>#DIV/0!</v>
      </c>
      <c r="Q42" s="79"/>
    </row>
    <row r="43" spans="1:17" ht="72" customHeight="1">
      <c r="A43" s="201" t="s">
        <v>94</v>
      </c>
      <c r="B43" s="257" t="s">
        <v>96</v>
      </c>
      <c r="C43" s="258"/>
      <c r="D43" s="258"/>
      <c r="E43" s="14">
        <f>SUM(E44:E122)</f>
        <v>0</v>
      </c>
      <c r="F43" s="14">
        <f t="shared" ref="F43:M43" si="5">SUM(F44:F122)</f>
        <v>0</v>
      </c>
      <c r="G43" s="14">
        <f t="shared" si="5"/>
        <v>0</v>
      </c>
      <c r="H43" s="14">
        <f t="shared" si="5"/>
        <v>0</v>
      </c>
      <c r="I43" s="14">
        <f t="shared" si="5"/>
        <v>0</v>
      </c>
      <c r="J43" s="14">
        <f t="shared" si="5"/>
        <v>230.1</v>
      </c>
      <c r="K43" s="14">
        <f t="shared" si="5"/>
        <v>0</v>
      </c>
      <c r="L43" s="14">
        <f t="shared" si="5"/>
        <v>556.19999999999993</v>
      </c>
      <c r="M43" s="14">
        <f t="shared" si="5"/>
        <v>0</v>
      </c>
      <c r="N43" s="14">
        <f>F43+H43+J43+L43</f>
        <v>786.3</v>
      </c>
      <c r="O43" s="14">
        <f t="shared" si="3"/>
        <v>786.3</v>
      </c>
      <c r="P43" s="91" t="e">
        <f t="shared" si="4"/>
        <v>#DIV/0!</v>
      </c>
    </row>
    <row r="44" spans="1:17" ht="47.25" customHeight="1">
      <c r="A44" s="201"/>
      <c r="B44" s="242" t="s">
        <v>369</v>
      </c>
      <c r="C44" s="243"/>
      <c r="D44" s="244"/>
      <c r="E44" s="18"/>
      <c r="F44" s="18"/>
      <c r="G44" s="18"/>
      <c r="H44" s="18"/>
      <c r="I44" s="18"/>
      <c r="J44" s="18"/>
      <c r="K44" s="18"/>
      <c r="L44" s="18">
        <v>97.9</v>
      </c>
      <c r="M44" s="18"/>
      <c r="N44" s="18">
        <f t="shared" ref="N44:N64" si="6">F44+H44+J44+L44</f>
        <v>97.9</v>
      </c>
      <c r="O44" s="18">
        <f t="shared" si="3"/>
        <v>97.9</v>
      </c>
      <c r="P44" s="91" t="e">
        <f t="shared" si="4"/>
        <v>#DIV/0!</v>
      </c>
    </row>
    <row r="45" spans="1:17" ht="45.75" customHeight="1">
      <c r="A45" s="201"/>
      <c r="B45" s="242" t="s">
        <v>370</v>
      </c>
      <c r="C45" s="243"/>
      <c r="D45" s="244"/>
      <c r="E45" s="18"/>
      <c r="F45" s="18"/>
      <c r="G45" s="18"/>
      <c r="H45" s="18"/>
      <c r="I45" s="18"/>
      <c r="J45" s="18">
        <v>27.2</v>
      </c>
      <c r="K45" s="18"/>
      <c r="L45" s="18"/>
      <c r="M45" s="18"/>
      <c r="N45" s="18">
        <f t="shared" si="6"/>
        <v>27.2</v>
      </c>
      <c r="O45" s="18">
        <f t="shared" si="3"/>
        <v>27.2</v>
      </c>
      <c r="P45" s="91" t="e">
        <f t="shared" si="4"/>
        <v>#DIV/0!</v>
      </c>
    </row>
    <row r="46" spans="1:17" ht="31.5" customHeight="1">
      <c r="A46" s="201"/>
      <c r="B46" s="239" t="s">
        <v>324</v>
      </c>
      <c r="C46" s="240"/>
      <c r="D46" s="241"/>
      <c r="E46" s="18"/>
      <c r="F46" s="18"/>
      <c r="G46" s="18"/>
      <c r="H46" s="18"/>
      <c r="I46" s="18"/>
      <c r="J46" s="18">
        <v>14.5</v>
      </c>
      <c r="K46" s="18"/>
      <c r="L46" s="18"/>
      <c r="M46" s="18"/>
      <c r="N46" s="18">
        <f t="shared" si="6"/>
        <v>14.5</v>
      </c>
      <c r="O46" s="18">
        <f t="shared" si="3"/>
        <v>14.5</v>
      </c>
      <c r="P46" s="91" t="e">
        <f t="shared" si="4"/>
        <v>#DIV/0!</v>
      </c>
    </row>
    <row r="47" spans="1:17" ht="33.75" customHeight="1">
      <c r="A47" s="201"/>
      <c r="B47" s="239" t="s">
        <v>325</v>
      </c>
      <c r="C47" s="240"/>
      <c r="D47" s="241"/>
      <c r="E47" s="18"/>
      <c r="F47" s="18"/>
      <c r="G47" s="18"/>
      <c r="H47" s="18"/>
      <c r="I47" s="18"/>
      <c r="J47" s="18">
        <v>21.8</v>
      </c>
      <c r="K47" s="18"/>
      <c r="L47" s="18"/>
      <c r="M47" s="18"/>
      <c r="N47" s="18">
        <f t="shared" si="6"/>
        <v>21.8</v>
      </c>
      <c r="O47" s="18">
        <f t="shared" si="3"/>
        <v>21.8</v>
      </c>
      <c r="P47" s="91" t="e">
        <f t="shared" si="4"/>
        <v>#DIV/0!</v>
      </c>
    </row>
    <row r="48" spans="1:17" ht="32.25" customHeight="1">
      <c r="A48" s="201"/>
      <c r="B48" s="239" t="s">
        <v>326</v>
      </c>
      <c r="C48" s="240"/>
      <c r="D48" s="241"/>
      <c r="E48" s="18"/>
      <c r="F48" s="18"/>
      <c r="G48" s="18"/>
      <c r="H48" s="18"/>
      <c r="I48" s="18"/>
      <c r="J48" s="18">
        <v>5.7</v>
      </c>
      <c r="K48" s="18"/>
      <c r="L48" s="18"/>
      <c r="M48" s="18"/>
      <c r="N48" s="18">
        <f t="shared" si="6"/>
        <v>5.7</v>
      </c>
      <c r="O48" s="18">
        <f t="shared" si="3"/>
        <v>5.7</v>
      </c>
      <c r="P48" s="91" t="e">
        <f t="shared" si="4"/>
        <v>#DIV/0!</v>
      </c>
    </row>
    <row r="49" spans="1:16" ht="33.75" customHeight="1">
      <c r="A49" s="201"/>
      <c r="B49" s="239" t="s">
        <v>327</v>
      </c>
      <c r="C49" s="240"/>
      <c r="D49" s="241"/>
      <c r="E49" s="18"/>
      <c r="F49" s="18"/>
      <c r="G49" s="18"/>
      <c r="H49" s="18"/>
      <c r="I49" s="18"/>
      <c r="J49" s="18">
        <v>2.9</v>
      </c>
      <c r="K49" s="18"/>
      <c r="L49" s="18"/>
      <c r="M49" s="18"/>
      <c r="N49" s="18">
        <f t="shared" si="6"/>
        <v>2.9</v>
      </c>
      <c r="O49" s="18">
        <f t="shared" si="3"/>
        <v>2.9</v>
      </c>
      <c r="P49" s="91" t="e">
        <f t="shared" si="4"/>
        <v>#DIV/0!</v>
      </c>
    </row>
    <row r="50" spans="1:16" ht="34.5" customHeight="1">
      <c r="A50" s="201"/>
      <c r="B50" s="239" t="s">
        <v>328</v>
      </c>
      <c r="C50" s="240"/>
      <c r="D50" s="241"/>
      <c r="E50" s="18"/>
      <c r="F50" s="18"/>
      <c r="G50" s="18"/>
      <c r="H50" s="18"/>
      <c r="I50" s="18"/>
      <c r="J50" s="18">
        <v>1.3</v>
      </c>
      <c r="K50" s="18"/>
      <c r="L50" s="18"/>
      <c r="M50" s="18"/>
      <c r="N50" s="18">
        <f t="shared" si="6"/>
        <v>1.3</v>
      </c>
      <c r="O50" s="18">
        <f t="shared" si="3"/>
        <v>1.3</v>
      </c>
      <c r="P50" s="91" t="e">
        <f t="shared" si="4"/>
        <v>#DIV/0!</v>
      </c>
    </row>
    <row r="51" spans="1:16" ht="34.5" customHeight="1">
      <c r="A51" s="201"/>
      <c r="B51" s="239" t="s">
        <v>329</v>
      </c>
      <c r="C51" s="240"/>
      <c r="D51" s="241"/>
      <c r="E51" s="18"/>
      <c r="F51" s="18"/>
      <c r="G51" s="18"/>
      <c r="H51" s="18"/>
      <c r="I51" s="18"/>
      <c r="J51" s="18"/>
      <c r="K51" s="18"/>
      <c r="L51" s="18">
        <v>59.9</v>
      </c>
      <c r="M51" s="18"/>
      <c r="N51" s="18">
        <f t="shared" si="6"/>
        <v>59.9</v>
      </c>
      <c r="O51" s="18">
        <f t="shared" si="3"/>
        <v>59.9</v>
      </c>
      <c r="P51" s="91" t="e">
        <f t="shared" si="4"/>
        <v>#DIV/0!</v>
      </c>
    </row>
    <row r="52" spans="1:16" ht="45.75" customHeight="1">
      <c r="A52" s="201"/>
      <c r="B52" s="242" t="s">
        <v>330</v>
      </c>
      <c r="C52" s="243"/>
      <c r="D52" s="244"/>
      <c r="E52" s="18"/>
      <c r="F52" s="18"/>
      <c r="G52" s="18"/>
      <c r="H52" s="18"/>
      <c r="I52" s="18"/>
      <c r="J52" s="18">
        <v>29.4</v>
      </c>
      <c r="K52" s="18"/>
      <c r="L52" s="18"/>
      <c r="M52" s="18"/>
      <c r="N52" s="18">
        <f t="shared" si="6"/>
        <v>29.4</v>
      </c>
      <c r="O52" s="18">
        <f t="shared" si="3"/>
        <v>29.4</v>
      </c>
      <c r="P52" s="91" t="e">
        <f t="shared" si="4"/>
        <v>#DIV/0!</v>
      </c>
    </row>
    <row r="53" spans="1:16" ht="45" customHeight="1">
      <c r="A53" s="201"/>
      <c r="B53" s="242" t="s">
        <v>331</v>
      </c>
      <c r="C53" s="243"/>
      <c r="D53" s="244"/>
      <c r="E53" s="18"/>
      <c r="F53" s="18"/>
      <c r="G53" s="18"/>
      <c r="H53" s="18"/>
      <c r="I53" s="18"/>
      <c r="J53" s="18">
        <v>4.9000000000000004</v>
      </c>
      <c r="K53" s="18"/>
      <c r="L53" s="18"/>
      <c r="M53" s="18"/>
      <c r="N53" s="18">
        <f t="shared" si="6"/>
        <v>4.9000000000000004</v>
      </c>
      <c r="O53" s="18">
        <f t="shared" si="3"/>
        <v>4.9000000000000004</v>
      </c>
      <c r="P53" s="91" t="e">
        <f t="shared" si="4"/>
        <v>#DIV/0!</v>
      </c>
    </row>
    <row r="54" spans="1:16" ht="33.75" customHeight="1">
      <c r="A54" s="201"/>
      <c r="B54" s="242" t="s">
        <v>332</v>
      </c>
      <c r="C54" s="243"/>
      <c r="D54" s="244"/>
      <c r="E54" s="18"/>
      <c r="F54" s="18"/>
      <c r="G54" s="18"/>
      <c r="H54" s="18"/>
      <c r="I54" s="18"/>
      <c r="J54" s="18">
        <v>20.9</v>
      </c>
      <c r="K54" s="18"/>
      <c r="L54" s="18"/>
      <c r="M54" s="18"/>
      <c r="N54" s="18">
        <f t="shared" si="6"/>
        <v>20.9</v>
      </c>
      <c r="O54" s="18">
        <f t="shared" si="3"/>
        <v>20.9</v>
      </c>
      <c r="P54" s="91" t="e">
        <f t="shared" si="4"/>
        <v>#DIV/0!</v>
      </c>
    </row>
    <row r="55" spans="1:16" ht="33.75" customHeight="1">
      <c r="A55" s="201"/>
      <c r="B55" s="239" t="s">
        <v>333</v>
      </c>
      <c r="C55" s="240"/>
      <c r="D55" s="241"/>
      <c r="E55" s="18"/>
      <c r="F55" s="18"/>
      <c r="G55" s="18"/>
      <c r="H55" s="18"/>
      <c r="I55" s="18"/>
      <c r="J55" s="18"/>
      <c r="K55" s="18"/>
      <c r="L55" s="18">
        <v>16.3</v>
      </c>
      <c r="M55" s="18"/>
      <c r="N55" s="18">
        <f t="shared" si="6"/>
        <v>16.3</v>
      </c>
      <c r="O55" s="18">
        <f t="shared" si="3"/>
        <v>16.3</v>
      </c>
      <c r="P55" s="91" t="e">
        <f t="shared" si="4"/>
        <v>#DIV/0!</v>
      </c>
    </row>
    <row r="56" spans="1:16" ht="32.25" customHeight="1">
      <c r="A56" s="201"/>
      <c r="B56" s="239" t="s">
        <v>334</v>
      </c>
      <c r="C56" s="240"/>
      <c r="D56" s="241"/>
      <c r="E56" s="18"/>
      <c r="F56" s="18"/>
      <c r="G56" s="18"/>
      <c r="H56" s="18"/>
      <c r="I56" s="18"/>
      <c r="J56" s="18"/>
      <c r="K56" s="18"/>
      <c r="L56" s="18">
        <v>18.8</v>
      </c>
      <c r="M56" s="18"/>
      <c r="N56" s="18">
        <f t="shared" si="6"/>
        <v>18.8</v>
      </c>
      <c r="O56" s="18">
        <f t="shared" si="3"/>
        <v>18.8</v>
      </c>
      <c r="P56" s="91" t="e">
        <f t="shared" si="4"/>
        <v>#DIV/0!</v>
      </c>
    </row>
    <row r="57" spans="1:16" ht="46.5" customHeight="1">
      <c r="A57" s="201"/>
      <c r="B57" s="242" t="s">
        <v>335</v>
      </c>
      <c r="C57" s="243"/>
      <c r="D57" s="244"/>
      <c r="E57" s="18"/>
      <c r="F57" s="18"/>
      <c r="G57" s="18"/>
      <c r="H57" s="18"/>
      <c r="I57" s="18"/>
      <c r="J57" s="18"/>
      <c r="K57" s="18"/>
      <c r="L57" s="18">
        <v>33</v>
      </c>
      <c r="M57" s="18"/>
      <c r="N57" s="18">
        <f t="shared" si="6"/>
        <v>33</v>
      </c>
      <c r="O57" s="18">
        <f t="shared" si="3"/>
        <v>33</v>
      </c>
      <c r="P57" s="91" t="e">
        <f t="shared" si="4"/>
        <v>#DIV/0!</v>
      </c>
    </row>
    <row r="58" spans="1:16" ht="26.25" customHeight="1">
      <c r="A58" s="201"/>
      <c r="B58" s="239" t="s">
        <v>336</v>
      </c>
      <c r="C58" s="240"/>
      <c r="D58" s="241"/>
      <c r="E58" s="18"/>
      <c r="F58" s="18"/>
      <c r="G58" s="18"/>
      <c r="H58" s="18"/>
      <c r="I58" s="18"/>
      <c r="J58" s="18"/>
      <c r="K58" s="18"/>
      <c r="L58" s="18">
        <v>31.5</v>
      </c>
      <c r="M58" s="18"/>
      <c r="N58" s="18">
        <f t="shared" si="6"/>
        <v>31.5</v>
      </c>
      <c r="O58" s="18">
        <f t="shared" si="3"/>
        <v>31.5</v>
      </c>
      <c r="P58" s="91" t="e">
        <f t="shared" si="4"/>
        <v>#DIV/0!</v>
      </c>
    </row>
    <row r="59" spans="1:16" ht="43.5" customHeight="1">
      <c r="A59" s="201"/>
      <c r="B59" s="242" t="s">
        <v>337</v>
      </c>
      <c r="C59" s="243"/>
      <c r="D59" s="244"/>
      <c r="E59" s="18"/>
      <c r="F59" s="18"/>
      <c r="G59" s="18"/>
      <c r="H59" s="18"/>
      <c r="I59" s="18"/>
      <c r="J59" s="18"/>
      <c r="K59" s="18"/>
      <c r="L59" s="18">
        <v>13</v>
      </c>
      <c r="M59" s="18"/>
      <c r="N59" s="18">
        <f t="shared" si="6"/>
        <v>13</v>
      </c>
      <c r="O59" s="18">
        <f t="shared" si="3"/>
        <v>13</v>
      </c>
      <c r="P59" s="91" t="e">
        <f t="shared" si="4"/>
        <v>#DIV/0!</v>
      </c>
    </row>
    <row r="60" spans="1:16" ht="46.5" customHeight="1">
      <c r="A60" s="201"/>
      <c r="B60" s="242" t="s">
        <v>338</v>
      </c>
      <c r="C60" s="243"/>
      <c r="D60" s="244"/>
      <c r="E60" s="18"/>
      <c r="F60" s="18"/>
      <c r="G60" s="18"/>
      <c r="H60" s="18"/>
      <c r="I60" s="18"/>
      <c r="J60" s="18"/>
      <c r="K60" s="18"/>
      <c r="L60" s="18">
        <v>3.7</v>
      </c>
      <c r="M60" s="18"/>
      <c r="N60" s="18">
        <f t="shared" si="6"/>
        <v>3.7</v>
      </c>
      <c r="O60" s="18">
        <f t="shared" si="3"/>
        <v>3.7</v>
      </c>
      <c r="P60" s="91" t="e">
        <f t="shared" si="4"/>
        <v>#DIV/0!</v>
      </c>
    </row>
    <row r="61" spans="1:16" ht="37.5" customHeight="1">
      <c r="A61" s="201"/>
      <c r="B61" s="239" t="s">
        <v>339</v>
      </c>
      <c r="C61" s="240"/>
      <c r="D61" s="241"/>
      <c r="E61" s="18"/>
      <c r="F61" s="18"/>
      <c r="G61" s="18"/>
      <c r="H61" s="18"/>
      <c r="I61" s="18"/>
      <c r="J61" s="18"/>
      <c r="K61" s="18"/>
      <c r="L61" s="18">
        <v>7.7</v>
      </c>
      <c r="M61" s="18"/>
      <c r="N61" s="18">
        <f t="shared" si="6"/>
        <v>7.7</v>
      </c>
      <c r="O61" s="18">
        <f t="shared" si="3"/>
        <v>7.7</v>
      </c>
      <c r="P61" s="91" t="e">
        <f t="shared" si="4"/>
        <v>#DIV/0!</v>
      </c>
    </row>
    <row r="62" spans="1:16" ht="27" customHeight="1">
      <c r="A62" s="201"/>
      <c r="B62" s="242" t="s">
        <v>340</v>
      </c>
      <c r="C62" s="243"/>
      <c r="D62" s="244"/>
      <c r="E62" s="18"/>
      <c r="F62" s="18"/>
      <c r="G62" s="18"/>
      <c r="H62" s="18"/>
      <c r="I62" s="18"/>
      <c r="J62" s="18">
        <v>10.7</v>
      </c>
      <c r="K62" s="18"/>
      <c r="L62" s="18"/>
      <c r="M62" s="18"/>
      <c r="N62" s="18">
        <f t="shared" si="6"/>
        <v>10.7</v>
      </c>
      <c r="O62" s="18">
        <f t="shared" si="3"/>
        <v>10.7</v>
      </c>
      <c r="P62" s="91" t="e">
        <f t="shared" si="4"/>
        <v>#DIV/0!</v>
      </c>
    </row>
    <row r="63" spans="1:16" ht="41.25" customHeight="1">
      <c r="A63" s="201"/>
      <c r="B63" s="242" t="s">
        <v>341</v>
      </c>
      <c r="C63" s="243"/>
      <c r="D63" s="244"/>
      <c r="E63" s="18"/>
      <c r="F63" s="18"/>
      <c r="G63" s="18"/>
      <c r="H63" s="18"/>
      <c r="I63" s="18"/>
      <c r="J63" s="18"/>
      <c r="K63" s="18"/>
      <c r="L63" s="18">
        <v>8.1</v>
      </c>
      <c r="M63" s="18"/>
      <c r="N63" s="18">
        <f t="shared" si="6"/>
        <v>8.1</v>
      </c>
      <c r="O63" s="18">
        <f t="shared" si="3"/>
        <v>8.1</v>
      </c>
      <c r="P63" s="91" t="e">
        <f t="shared" si="4"/>
        <v>#DIV/0!</v>
      </c>
    </row>
    <row r="64" spans="1:16" ht="58.5" customHeight="1">
      <c r="A64" s="201"/>
      <c r="B64" s="242" t="s">
        <v>342</v>
      </c>
      <c r="C64" s="243"/>
      <c r="D64" s="244"/>
      <c r="E64" s="18"/>
      <c r="F64" s="18"/>
      <c r="G64" s="18"/>
      <c r="H64" s="18"/>
      <c r="I64" s="18"/>
      <c r="J64" s="18"/>
      <c r="K64" s="18"/>
      <c r="L64" s="18">
        <v>7.8</v>
      </c>
      <c r="M64" s="18"/>
      <c r="N64" s="18">
        <f t="shared" si="6"/>
        <v>7.8</v>
      </c>
      <c r="O64" s="18">
        <f t="shared" si="3"/>
        <v>7.8</v>
      </c>
      <c r="P64" s="91" t="e">
        <f t="shared" si="4"/>
        <v>#DIV/0!</v>
      </c>
    </row>
    <row r="65" spans="1:16" ht="33" customHeight="1">
      <c r="A65" s="201"/>
      <c r="B65" s="239" t="s">
        <v>343</v>
      </c>
      <c r="C65" s="240"/>
      <c r="D65" s="241"/>
      <c r="E65" s="18"/>
      <c r="F65" s="18"/>
      <c r="G65" s="18"/>
      <c r="H65" s="18"/>
      <c r="I65" s="18"/>
      <c r="J65" s="18"/>
      <c r="K65" s="18"/>
      <c r="L65" s="18">
        <v>6</v>
      </c>
      <c r="M65" s="18">
        <f t="shared" ref="M65:M124" si="7">E65+G65+I65+K65</f>
        <v>0</v>
      </c>
      <c r="N65" s="18">
        <f>F65+H65+J65+L65</f>
        <v>6</v>
      </c>
      <c r="O65" s="18">
        <f t="shared" si="3"/>
        <v>6</v>
      </c>
      <c r="P65" s="91" t="e">
        <f t="shared" si="4"/>
        <v>#DIV/0!</v>
      </c>
    </row>
    <row r="66" spans="1:16" ht="33" customHeight="1">
      <c r="A66" s="201"/>
      <c r="B66" s="239" t="s">
        <v>344</v>
      </c>
      <c r="C66" s="240"/>
      <c r="D66" s="241"/>
      <c r="E66" s="18"/>
      <c r="F66" s="18"/>
      <c r="G66" s="18"/>
      <c r="H66" s="18"/>
      <c r="I66" s="18"/>
      <c r="J66" s="18"/>
      <c r="K66" s="18"/>
      <c r="L66" s="18">
        <v>1.7</v>
      </c>
      <c r="M66" s="18">
        <f t="shared" si="7"/>
        <v>0</v>
      </c>
      <c r="N66" s="18">
        <f t="shared" ref="N66:N122" si="8">F66+H66+J66+L66</f>
        <v>1.7</v>
      </c>
      <c r="O66" s="18">
        <f t="shared" si="3"/>
        <v>1.7</v>
      </c>
      <c r="P66" s="91" t="e">
        <f t="shared" si="4"/>
        <v>#DIV/0!</v>
      </c>
    </row>
    <row r="67" spans="1:16" ht="29.25" customHeight="1">
      <c r="A67" s="201"/>
      <c r="B67" s="239" t="s">
        <v>345</v>
      </c>
      <c r="C67" s="240"/>
      <c r="D67" s="241"/>
      <c r="E67" s="18"/>
      <c r="F67" s="18"/>
      <c r="G67" s="18"/>
      <c r="H67" s="18"/>
      <c r="I67" s="18"/>
      <c r="J67" s="18">
        <v>7.5</v>
      </c>
      <c r="K67" s="18"/>
      <c r="L67" s="18"/>
      <c r="M67" s="18">
        <f t="shared" si="7"/>
        <v>0</v>
      </c>
      <c r="N67" s="18">
        <f t="shared" si="8"/>
        <v>7.5</v>
      </c>
      <c r="O67" s="18">
        <f t="shared" si="3"/>
        <v>7.5</v>
      </c>
      <c r="P67" s="91" t="e">
        <f t="shared" si="4"/>
        <v>#DIV/0!</v>
      </c>
    </row>
    <row r="68" spans="1:16" ht="33" customHeight="1">
      <c r="A68" s="201"/>
      <c r="B68" s="239" t="s">
        <v>346</v>
      </c>
      <c r="C68" s="240"/>
      <c r="D68" s="241"/>
      <c r="E68" s="110"/>
      <c r="F68" s="110"/>
      <c r="G68" s="110"/>
      <c r="H68" s="110"/>
      <c r="I68" s="110"/>
      <c r="J68" s="110"/>
      <c r="K68" s="18"/>
      <c r="L68" s="18">
        <v>4</v>
      </c>
      <c r="M68" s="18">
        <f t="shared" si="7"/>
        <v>0</v>
      </c>
      <c r="N68" s="18">
        <f t="shared" si="8"/>
        <v>4</v>
      </c>
      <c r="O68" s="18">
        <f t="shared" si="3"/>
        <v>4</v>
      </c>
      <c r="P68" s="91" t="e">
        <f t="shared" si="4"/>
        <v>#DIV/0!</v>
      </c>
    </row>
    <row r="69" spans="1:16" ht="33" customHeight="1">
      <c r="A69" s="201"/>
      <c r="B69" s="239" t="s">
        <v>347</v>
      </c>
      <c r="C69" s="240"/>
      <c r="D69" s="241"/>
      <c r="E69" s="18"/>
      <c r="F69" s="18"/>
      <c r="G69" s="18"/>
      <c r="H69" s="18"/>
      <c r="I69" s="18"/>
      <c r="J69" s="18"/>
      <c r="K69" s="18"/>
      <c r="L69" s="18">
        <v>1.9</v>
      </c>
      <c r="M69" s="18">
        <f t="shared" si="7"/>
        <v>0</v>
      </c>
      <c r="N69" s="18">
        <f t="shared" si="8"/>
        <v>1.9</v>
      </c>
      <c r="O69" s="18">
        <f t="shared" si="3"/>
        <v>1.9</v>
      </c>
      <c r="P69" s="91" t="e">
        <f t="shared" si="4"/>
        <v>#DIV/0!</v>
      </c>
    </row>
    <row r="70" spans="1:16" ht="32.25" customHeight="1">
      <c r="A70" s="201"/>
      <c r="B70" s="239" t="s">
        <v>348</v>
      </c>
      <c r="C70" s="240"/>
      <c r="D70" s="241"/>
      <c r="E70" s="18"/>
      <c r="F70" s="18"/>
      <c r="G70" s="18"/>
      <c r="H70" s="18"/>
      <c r="I70" s="18"/>
      <c r="J70" s="18"/>
      <c r="K70" s="18"/>
      <c r="L70" s="18">
        <v>3.6</v>
      </c>
      <c r="M70" s="18">
        <f t="shared" si="7"/>
        <v>0</v>
      </c>
      <c r="N70" s="18">
        <f t="shared" si="8"/>
        <v>3.6</v>
      </c>
      <c r="O70" s="18">
        <f t="shared" si="3"/>
        <v>3.6</v>
      </c>
      <c r="P70" s="91" t="e">
        <f t="shared" si="4"/>
        <v>#DIV/0!</v>
      </c>
    </row>
    <row r="71" spans="1:16" ht="30" customHeight="1">
      <c r="A71" s="201"/>
      <c r="B71" s="239" t="s">
        <v>349</v>
      </c>
      <c r="C71" s="240"/>
      <c r="D71" s="241"/>
      <c r="E71" s="18"/>
      <c r="F71" s="18"/>
      <c r="G71" s="18"/>
      <c r="H71" s="18"/>
      <c r="I71" s="18"/>
      <c r="J71" s="18"/>
      <c r="K71" s="18"/>
      <c r="L71" s="18">
        <v>0.1</v>
      </c>
      <c r="M71" s="18">
        <f t="shared" si="7"/>
        <v>0</v>
      </c>
      <c r="N71" s="18">
        <f t="shared" si="8"/>
        <v>0.1</v>
      </c>
      <c r="O71" s="18">
        <f t="shared" si="3"/>
        <v>0.1</v>
      </c>
      <c r="P71" s="91" t="e">
        <f t="shared" si="4"/>
        <v>#DIV/0!</v>
      </c>
    </row>
    <row r="72" spans="1:16" ht="30.75" customHeight="1">
      <c r="A72" s="201"/>
      <c r="B72" s="239" t="s">
        <v>350</v>
      </c>
      <c r="C72" s="240"/>
      <c r="D72" s="241"/>
      <c r="E72" s="18"/>
      <c r="F72" s="18"/>
      <c r="G72" s="18"/>
      <c r="H72" s="18"/>
      <c r="I72" s="18"/>
      <c r="J72" s="18"/>
      <c r="K72" s="18"/>
      <c r="L72" s="18">
        <v>0.1</v>
      </c>
      <c r="M72" s="18">
        <f t="shared" si="7"/>
        <v>0</v>
      </c>
      <c r="N72" s="18">
        <f t="shared" si="8"/>
        <v>0.1</v>
      </c>
      <c r="O72" s="18">
        <f t="shared" ref="O72:O124" si="9">N72-M72</f>
        <v>0.1</v>
      </c>
      <c r="P72" s="91" t="e">
        <f t="shared" ref="P72:P124" si="10">(N72/M72)*100</f>
        <v>#DIV/0!</v>
      </c>
    </row>
    <row r="73" spans="1:16" ht="30.75" customHeight="1">
      <c r="A73" s="201"/>
      <c r="B73" s="239" t="s">
        <v>351</v>
      </c>
      <c r="C73" s="240"/>
      <c r="D73" s="241"/>
      <c r="E73" s="18"/>
      <c r="F73" s="18"/>
      <c r="G73" s="18"/>
      <c r="H73" s="18"/>
      <c r="I73" s="18"/>
      <c r="J73" s="18"/>
      <c r="K73" s="18"/>
      <c r="L73" s="18">
        <v>0.1</v>
      </c>
      <c r="M73" s="18"/>
      <c r="N73" s="18">
        <f t="shared" si="8"/>
        <v>0.1</v>
      </c>
      <c r="O73" s="18">
        <f t="shared" si="9"/>
        <v>0.1</v>
      </c>
      <c r="P73" s="91" t="e">
        <f t="shared" si="10"/>
        <v>#DIV/0!</v>
      </c>
    </row>
    <row r="74" spans="1:16" ht="30.75" customHeight="1">
      <c r="A74" s="201"/>
      <c r="B74" s="239" t="s">
        <v>352</v>
      </c>
      <c r="C74" s="240"/>
      <c r="D74" s="241"/>
      <c r="E74" s="18"/>
      <c r="F74" s="18"/>
      <c r="G74" s="18"/>
      <c r="H74" s="18"/>
      <c r="I74" s="18"/>
      <c r="J74" s="18"/>
      <c r="K74" s="18"/>
      <c r="L74" s="18">
        <v>0.7</v>
      </c>
      <c r="M74" s="18"/>
      <c r="N74" s="18">
        <f t="shared" si="8"/>
        <v>0.7</v>
      </c>
      <c r="O74" s="18">
        <f t="shared" si="9"/>
        <v>0.7</v>
      </c>
      <c r="P74" s="91" t="e">
        <f t="shared" si="10"/>
        <v>#DIV/0!</v>
      </c>
    </row>
    <row r="75" spans="1:16" ht="30.75" customHeight="1">
      <c r="A75" s="201"/>
      <c r="B75" s="239" t="s">
        <v>353</v>
      </c>
      <c r="C75" s="240"/>
      <c r="D75" s="241"/>
      <c r="E75" s="18"/>
      <c r="F75" s="18"/>
      <c r="G75" s="18"/>
      <c r="H75" s="18"/>
      <c r="I75" s="18"/>
      <c r="J75" s="18"/>
      <c r="K75" s="18"/>
      <c r="L75" s="18">
        <v>0.2</v>
      </c>
      <c r="M75" s="18"/>
      <c r="N75" s="18">
        <f t="shared" si="8"/>
        <v>0.2</v>
      </c>
      <c r="O75" s="18">
        <f t="shared" si="9"/>
        <v>0.2</v>
      </c>
      <c r="P75" s="91" t="e">
        <f t="shared" si="10"/>
        <v>#DIV/0!</v>
      </c>
    </row>
    <row r="76" spans="1:16" ht="30.75" customHeight="1">
      <c r="A76" s="201"/>
      <c r="B76" s="242" t="s">
        <v>354</v>
      </c>
      <c r="C76" s="243"/>
      <c r="D76" s="244"/>
      <c r="E76" s="18"/>
      <c r="F76" s="18"/>
      <c r="G76" s="18"/>
      <c r="H76" s="18"/>
      <c r="I76" s="18"/>
      <c r="J76" s="18"/>
      <c r="K76" s="18"/>
      <c r="L76" s="18">
        <v>4.7</v>
      </c>
      <c r="M76" s="18"/>
      <c r="N76" s="18">
        <f t="shared" si="8"/>
        <v>4.7</v>
      </c>
      <c r="O76" s="18">
        <f t="shared" si="9"/>
        <v>4.7</v>
      </c>
      <c r="P76" s="91" t="e">
        <f t="shared" si="10"/>
        <v>#DIV/0!</v>
      </c>
    </row>
    <row r="77" spans="1:16" ht="30.75" customHeight="1">
      <c r="A77" s="201"/>
      <c r="B77" s="239" t="s">
        <v>355</v>
      </c>
      <c r="C77" s="240"/>
      <c r="D77" s="241"/>
      <c r="E77" s="18"/>
      <c r="F77" s="18"/>
      <c r="G77" s="18"/>
      <c r="H77" s="18"/>
      <c r="I77" s="18"/>
      <c r="J77" s="18"/>
      <c r="K77" s="18"/>
      <c r="L77" s="18">
        <v>4</v>
      </c>
      <c r="M77" s="18"/>
      <c r="N77" s="18">
        <f t="shared" si="8"/>
        <v>4</v>
      </c>
      <c r="O77" s="18">
        <f t="shared" si="9"/>
        <v>4</v>
      </c>
      <c r="P77" s="91" t="e">
        <f t="shared" si="10"/>
        <v>#DIV/0!</v>
      </c>
    </row>
    <row r="78" spans="1:16" ht="30.75" customHeight="1">
      <c r="A78" s="201"/>
      <c r="B78" s="242" t="s">
        <v>356</v>
      </c>
      <c r="C78" s="243"/>
      <c r="D78" s="244"/>
      <c r="E78" s="18"/>
      <c r="F78" s="18"/>
      <c r="G78" s="18"/>
      <c r="H78" s="18"/>
      <c r="I78" s="18"/>
      <c r="J78" s="18">
        <v>0.8</v>
      </c>
      <c r="K78" s="18"/>
      <c r="L78" s="18"/>
      <c r="M78" s="18"/>
      <c r="N78" s="18">
        <f t="shared" si="8"/>
        <v>0.8</v>
      </c>
      <c r="O78" s="18">
        <f t="shared" si="9"/>
        <v>0.8</v>
      </c>
      <c r="P78" s="91" t="e">
        <f t="shared" si="10"/>
        <v>#DIV/0!</v>
      </c>
    </row>
    <row r="79" spans="1:16" ht="30.75" customHeight="1">
      <c r="A79" s="201"/>
      <c r="B79" s="242" t="s">
        <v>357</v>
      </c>
      <c r="C79" s="243"/>
      <c r="D79" s="244"/>
      <c r="E79" s="18"/>
      <c r="F79" s="18"/>
      <c r="G79" s="18"/>
      <c r="H79" s="18"/>
      <c r="I79" s="18"/>
      <c r="J79" s="18">
        <v>2.2000000000000002</v>
      </c>
      <c r="K79" s="18"/>
      <c r="L79" s="18"/>
      <c r="M79" s="18"/>
      <c r="N79" s="18">
        <f t="shared" si="8"/>
        <v>2.2000000000000002</v>
      </c>
      <c r="O79" s="18">
        <f t="shared" si="9"/>
        <v>2.2000000000000002</v>
      </c>
      <c r="P79" s="91" t="e">
        <f t="shared" si="10"/>
        <v>#DIV/0!</v>
      </c>
    </row>
    <row r="80" spans="1:16" ht="30.75" customHeight="1">
      <c r="A80" s="201"/>
      <c r="B80" s="242" t="s">
        <v>358</v>
      </c>
      <c r="C80" s="243"/>
      <c r="D80" s="244"/>
      <c r="E80" s="18"/>
      <c r="F80" s="18"/>
      <c r="G80" s="18"/>
      <c r="H80" s="18"/>
      <c r="I80" s="18"/>
      <c r="J80" s="18">
        <v>1</v>
      </c>
      <c r="K80" s="18"/>
      <c r="L80" s="18"/>
      <c r="M80" s="18"/>
      <c r="N80" s="18">
        <f t="shared" si="8"/>
        <v>1</v>
      </c>
      <c r="O80" s="18">
        <f t="shared" si="9"/>
        <v>1</v>
      </c>
      <c r="P80" s="91" t="e">
        <f t="shared" si="10"/>
        <v>#DIV/0!</v>
      </c>
    </row>
    <row r="81" spans="1:16" ht="30.75" customHeight="1">
      <c r="A81" s="201"/>
      <c r="B81" s="239" t="s">
        <v>359</v>
      </c>
      <c r="C81" s="240"/>
      <c r="D81" s="241"/>
      <c r="E81" s="18"/>
      <c r="F81" s="18"/>
      <c r="G81" s="18"/>
      <c r="H81" s="18"/>
      <c r="I81" s="18"/>
      <c r="J81" s="18"/>
      <c r="K81" s="18"/>
      <c r="L81" s="18">
        <v>1</v>
      </c>
      <c r="M81" s="18"/>
      <c r="N81" s="18">
        <f t="shared" si="8"/>
        <v>1</v>
      </c>
      <c r="O81" s="18">
        <f t="shared" si="9"/>
        <v>1</v>
      </c>
      <c r="P81" s="91" t="e">
        <f t="shared" si="10"/>
        <v>#DIV/0!</v>
      </c>
    </row>
    <row r="82" spans="1:16" ht="30.75" customHeight="1">
      <c r="A82" s="201"/>
      <c r="B82" s="239" t="s">
        <v>360</v>
      </c>
      <c r="C82" s="240"/>
      <c r="D82" s="241"/>
      <c r="E82" s="18"/>
      <c r="F82" s="18"/>
      <c r="G82" s="18"/>
      <c r="H82" s="18"/>
      <c r="I82" s="18"/>
      <c r="J82" s="18"/>
      <c r="K82" s="18"/>
      <c r="L82" s="18">
        <v>0.9</v>
      </c>
      <c r="M82" s="18"/>
      <c r="N82" s="18">
        <f t="shared" si="8"/>
        <v>0.9</v>
      </c>
      <c r="O82" s="18">
        <f t="shared" si="9"/>
        <v>0.9</v>
      </c>
      <c r="P82" s="91" t="e">
        <f t="shared" si="10"/>
        <v>#DIV/0!</v>
      </c>
    </row>
    <row r="83" spans="1:16" ht="30.75" customHeight="1">
      <c r="A83" s="201"/>
      <c r="B83" s="239" t="s">
        <v>361</v>
      </c>
      <c r="C83" s="240"/>
      <c r="D83" s="241"/>
      <c r="E83" s="18"/>
      <c r="F83" s="18"/>
      <c r="G83" s="18"/>
      <c r="H83" s="18"/>
      <c r="I83" s="18"/>
      <c r="J83" s="18"/>
      <c r="K83" s="18"/>
      <c r="L83" s="18">
        <v>0.5</v>
      </c>
      <c r="M83" s="18"/>
      <c r="N83" s="18">
        <f t="shared" si="8"/>
        <v>0.5</v>
      </c>
      <c r="O83" s="18">
        <f t="shared" si="9"/>
        <v>0.5</v>
      </c>
      <c r="P83" s="91" t="e">
        <f t="shared" si="10"/>
        <v>#DIV/0!</v>
      </c>
    </row>
    <row r="84" spans="1:16" ht="30.75" customHeight="1">
      <c r="A84" s="201"/>
      <c r="B84" s="239" t="s">
        <v>362</v>
      </c>
      <c r="C84" s="240"/>
      <c r="D84" s="241"/>
      <c r="E84" s="18"/>
      <c r="F84" s="18"/>
      <c r="G84" s="18"/>
      <c r="H84" s="18"/>
      <c r="I84" s="18"/>
      <c r="J84" s="18"/>
      <c r="K84" s="18"/>
      <c r="L84" s="18">
        <v>0.4</v>
      </c>
      <c r="M84" s="18"/>
      <c r="N84" s="18">
        <f t="shared" si="8"/>
        <v>0.4</v>
      </c>
      <c r="O84" s="18">
        <f t="shared" si="9"/>
        <v>0.4</v>
      </c>
      <c r="P84" s="91" t="e">
        <f t="shared" si="10"/>
        <v>#DIV/0!</v>
      </c>
    </row>
    <row r="85" spans="1:16" ht="30.75" customHeight="1">
      <c r="A85" s="201"/>
      <c r="B85" s="239" t="s">
        <v>363</v>
      </c>
      <c r="C85" s="240"/>
      <c r="D85" s="241"/>
      <c r="E85" s="18"/>
      <c r="F85" s="18"/>
      <c r="G85" s="18"/>
      <c r="H85" s="18"/>
      <c r="I85" s="18"/>
      <c r="J85" s="18"/>
      <c r="K85" s="18"/>
      <c r="L85" s="18">
        <v>0.2</v>
      </c>
      <c r="M85" s="18"/>
      <c r="N85" s="18">
        <f t="shared" si="8"/>
        <v>0.2</v>
      </c>
      <c r="O85" s="18">
        <f t="shared" si="9"/>
        <v>0.2</v>
      </c>
      <c r="P85" s="91" t="e">
        <f t="shared" si="10"/>
        <v>#DIV/0!</v>
      </c>
    </row>
    <row r="86" spans="1:16" ht="30.75" customHeight="1">
      <c r="A86" s="201"/>
      <c r="B86" s="239" t="s">
        <v>364</v>
      </c>
      <c r="C86" s="240"/>
      <c r="D86" s="241"/>
      <c r="E86" s="18"/>
      <c r="F86" s="18"/>
      <c r="G86" s="18"/>
      <c r="H86" s="18"/>
      <c r="I86" s="18"/>
      <c r="J86" s="18"/>
      <c r="K86" s="18"/>
      <c r="L86" s="18">
        <v>0.3</v>
      </c>
      <c r="M86" s="18">
        <f t="shared" si="7"/>
        <v>0</v>
      </c>
      <c r="N86" s="18">
        <f t="shared" si="8"/>
        <v>0.3</v>
      </c>
      <c r="O86" s="18">
        <f t="shared" si="9"/>
        <v>0.3</v>
      </c>
      <c r="P86" s="91" t="e">
        <f t="shared" si="10"/>
        <v>#DIV/0!</v>
      </c>
    </row>
    <row r="87" spans="1:16" ht="39.75" customHeight="1">
      <c r="A87" s="201"/>
      <c r="B87" s="239" t="s">
        <v>365</v>
      </c>
      <c r="C87" s="240"/>
      <c r="D87" s="241"/>
      <c r="E87" s="18"/>
      <c r="F87" s="18"/>
      <c r="G87" s="18"/>
      <c r="H87" s="18"/>
      <c r="I87" s="18"/>
      <c r="J87" s="18"/>
      <c r="K87" s="18"/>
      <c r="L87" s="18">
        <v>0.2</v>
      </c>
      <c r="M87" s="18">
        <f t="shared" si="7"/>
        <v>0</v>
      </c>
      <c r="N87" s="18">
        <f t="shared" si="8"/>
        <v>0.2</v>
      </c>
      <c r="O87" s="18">
        <f t="shared" si="9"/>
        <v>0.2</v>
      </c>
      <c r="P87" s="91" t="e">
        <f t="shared" si="10"/>
        <v>#DIV/0!</v>
      </c>
    </row>
    <row r="88" spans="1:16" ht="33.75" customHeight="1">
      <c r="A88" s="201"/>
      <c r="B88" s="239" t="s">
        <v>366</v>
      </c>
      <c r="C88" s="240"/>
      <c r="D88" s="241"/>
      <c r="E88" s="18"/>
      <c r="F88" s="18"/>
      <c r="G88" s="18"/>
      <c r="H88" s="18"/>
      <c r="I88" s="18"/>
      <c r="J88" s="18"/>
      <c r="K88" s="18"/>
      <c r="L88" s="18">
        <v>0.1</v>
      </c>
      <c r="M88" s="18">
        <f t="shared" si="7"/>
        <v>0</v>
      </c>
      <c r="N88" s="18">
        <f t="shared" si="8"/>
        <v>0.1</v>
      </c>
      <c r="O88" s="18">
        <f t="shared" si="9"/>
        <v>0.1</v>
      </c>
      <c r="P88" s="91" t="e">
        <f t="shared" si="10"/>
        <v>#DIV/0!</v>
      </c>
    </row>
    <row r="89" spans="1:16" ht="30" customHeight="1">
      <c r="A89" s="201"/>
      <c r="B89" s="239" t="s">
        <v>367</v>
      </c>
      <c r="C89" s="240"/>
      <c r="D89" s="241"/>
      <c r="E89" s="18"/>
      <c r="F89" s="18"/>
      <c r="G89" s="18"/>
      <c r="H89" s="18"/>
      <c r="I89" s="18"/>
      <c r="J89" s="18"/>
      <c r="K89" s="18"/>
      <c r="L89" s="18">
        <v>0.1</v>
      </c>
      <c r="M89" s="18">
        <f t="shared" si="7"/>
        <v>0</v>
      </c>
      <c r="N89" s="18">
        <f t="shared" si="8"/>
        <v>0.1</v>
      </c>
      <c r="O89" s="18">
        <f t="shared" si="9"/>
        <v>0.1</v>
      </c>
      <c r="P89" s="91" t="e">
        <f t="shared" si="10"/>
        <v>#DIV/0!</v>
      </c>
    </row>
    <row r="90" spans="1:16" ht="30.75" customHeight="1">
      <c r="A90" s="201"/>
      <c r="B90" s="239" t="s">
        <v>368</v>
      </c>
      <c r="C90" s="240"/>
      <c r="D90" s="241"/>
      <c r="E90" s="18"/>
      <c r="F90" s="18"/>
      <c r="G90" s="18"/>
      <c r="H90" s="18"/>
      <c r="I90" s="18"/>
      <c r="J90" s="18"/>
      <c r="K90" s="18"/>
      <c r="L90" s="18">
        <v>0.7</v>
      </c>
      <c r="M90" s="18">
        <f t="shared" si="7"/>
        <v>0</v>
      </c>
      <c r="N90" s="18">
        <f t="shared" si="8"/>
        <v>0.7</v>
      </c>
      <c r="O90" s="18">
        <f t="shared" si="9"/>
        <v>0.7</v>
      </c>
      <c r="P90" s="91" t="e">
        <f t="shared" si="10"/>
        <v>#DIV/0!</v>
      </c>
    </row>
    <row r="91" spans="1:16" ht="30.75" customHeight="1">
      <c r="A91" s="201"/>
      <c r="B91" s="242" t="s">
        <v>465</v>
      </c>
      <c r="C91" s="243"/>
      <c r="D91" s="244"/>
      <c r="E91" s="18"/>
      <c r="F91" s="18"/>
      <c r="G91" s="18"/>
      <c r="H91" s="18"/>
      <c r="I91" s="18"/>
      <c r="J91" s="18">
        <v>1.5</v>
      </c>
      <c r="K91" s="18"/>
      <c r="L91" s="18"/>
      <c r="M91" s="18"/>
      <c r="N91" s="18">
        <f t="shared" si="8"/>
        <v>1.5</v>
      </c>
      <c r="O91" s="18">
        <f t="shared" si="9"/>
        <v>1.5</v>
      </c>
      <c r="P91" s="91" t="e">
        <f t="shared" si="10"/>
        <v>#DIV/0!</v>
      </c>
    </row>
    <row r="92" spans="1:16" ht="57.75" customHeight="1">
      <c r="A92" s="201"/>
      <c r="B92" s="242" t="s">
        <v>466</v>
      </c>
      <c r="C92" s="243"/>
      <c r="D92" s="244"/>
      <c r="E92" s="18"/>
      <c r="F92" s="18"/>
      <c r="G92" s="18"/>
      <c r="H92" s="18"/>
      <c r="I92" s="18"/>
      <c r="J92" s="18"/>
      <c r="K92" s="18"/>
      <c r="L92" s="18">
        <v>16.100000000000001</v>
      </c>
      <c r="M92" s="18"/>
      <c r="N92" s="18">
        <f t="shared" si="8"/>
        <v>16.100000000000001</v>
      </c>
      <c r="O92" s="18">
        <f t="shared" si="9"/>
        <v>16.100000000000001</v>
      </c>
      <c r="P92" s="91" t="e">
        <f t="shared" si="10"/>
        <v>#DIV/0!</v>
      </c>
    </row>
    <row r="93" spans="1:16" ht="30.75" customHeight="1">
      <c r="A93" s="201"/>
      <c r="B93" s="239" t="s">
        <v>467</v>
      </c>
      <c r="C93" s="240"/>
      <c r="D93" s="241"/>
      <c r="E93" s="18"/>
      <c r="F93" s="18"/>
      <c r="G93" s="18"/>
      <c r="H93" s="18"/>
      <c r="I93" s="18"/>
      <c r="J93" s="18"/>
      <c r="K93" s="18"/>
      <c r="L93" s="18">
        <v>11.9</v>
      </c>
      <c r="M93" s="18"/>
      <c r="N93" s="18">
        <f t="shared" si="8"/>
        <v>11.9</v>
      </c>
      <c r="O93" s="18">
        <f t="shared" si="9"/>
        <v>11.9</v>
      </c>
      <c r="P93" s="91" t="e">
        <f t="shared" si="10"/>
        <v>#DIV/0!</v>
      </c>
    </row>
    <row r="94" spans="1:16" ht="45.75" customHeight="1">
      <c r="A94" s="201"/>
      <c r="B94" s="242" t="s">
        <v>468</v>
      </c>
      <c r="C94" s="243"/>
      <c r="D94" s="244"/>
      <c r="E94" s="18"/>
      <c r="F94" s="18"/>
      <c r="G94" s="18"/>
      <c r="H94" s="18"/>
      <c r="I94" s="18"/>
      <c r="J94" s="18"/>
      <c r="K94" s="18"/>
      <c r="L94" s="18">
        <v>10.3</v>
      </c>
      <c r="M94" s="18"/>
      <c r="N94" s="18">
        <f t="shared" si="8"/>
        <v>10.3</v>
      </c>
      <c r="O94" s="18">
        <f t="shared" si="9"/>
        <v>10.3</v>
      </c>
      <c r="P94" s="91" t="e">
        <f t="shared" si="10"/>
        <v>#DIV/0!</v>
      </c>
    </row>
    <row r="95" spans="1:16" ht="45.75" customHeight="1">
      <c r="A95" s="201"/>
      <c r="B95" s="242" t="s">
        <v>469</v>
      </c>
      <c r="C95" s="243"/>
      <c r="D95" s="244"/>
      <c r="E95" s="18"/>
      <c r="F95" s="18"/>
      <c r="G95" s="18"/>
      <c r="H95" s="18"/>
      <c r="I95" s="18"/>
      <c r="J95" s="18"/>
      <c r="K95" s="18"/>
      <c r="L95" s="18">
        <v>6.2</v>
      </c>
      <c r="M95" s="18"/>
      <c r="N95" s="18">
        <f t="shared" si="8"/>
        <v>6.2</v>
      </c>
      <c r="O95" s="18">
        <f t="shared" si="9"/>
        <v>6.2</v>
      </c>
      <c r="P95" s="91" t="e">
        <f t="shared" si="10"/>
        <v>#DIV/0!</v>
      </c>
    </row>
    <row r="96" spans="1:16" ht="30.75" customHeight="1">
      <c r="A96" s="201"/>
      <c r="B96" s="239" t="s">
        <v>470</v>
      </c>
      <c r="C96" s="240"/>
      <c r="D96" s="241"/>
      <c r="E96" s="18"/>
      <c r="F96" s="18"/>
      <c r="G96" s="18"/>
      <c r="H96" s="18"/>
      <c r="I96" s="18"/>
      <c r="J96" s="18"/>
      <c r="K96" s="18"/>
      <c r="L96" s="18">
        <v>11.3</v>
      </c>
      <c r="M96" s="18"/>
      <c r="N96" s="18">
        <f t="shared" si="8"/>
        <v>11.3</v>
      </c>
      <c r="O96" s="18">
        <f t="shared" si="9"/>
        <v>11.3</v>
      </c>
      <c r="P96" s="91" t="e">
        <f t="shared" si="10"/>
        <v>#DIV/0!</v>
      </c>
    </row>
    <row r="97" spans="1:16" ht="30.75" customHeight="1">
      <c r="A97" s="201"/>
      <c r="B97" s="239" t="s">
        <v>471</v>
      </c>
      <c r="C97" s="240"/>
      <c r="D97" s="241"/>
      <c r="E97" s="18"/>
      <c r="F97" s="18"/>
      <c r="G97" s="18"/>
      <c r="H97" s="18"/>
      <c r="I97" s="18"/>
      <c r="J97" s="18"/>
      <c r="K97" s="18"/>
      <c r="L97" s="18">
        <v>11.5</v>
      </c>
      <c r="M97" s="18"/>
      <c r="N97" s="18">
        <f t="shared" si="8"/>
        <v>11.5</v>
      </c>
      <c r="O97" s="18">
        <f t="shared" si="9"/>
        <v>11.5</v>
      </c>
      <c r="P97" s="91" t="e">
        <f t="shared" si="10"/>
        <v>#DIV/0!</v>
      </c>
    </row>
    <row r="98" spans="1:16" ht="30.75" customHeight="1">
      <c r="A98" s="201"/>
      <c r="B98" s="242" t="s">
        <v>472</v>
      </c>
      <c r="C98" s="243"/>
      <c r="D98" s="244"/>
      <c r="E98" s="18"/>
      <c r="F98" s="18"/>
      <c r="G98" s="18"/>
      <c r="H98" s="18"/>
      <c r="I98" s="18"/>
      <c r="J98" s="18"/>
      <c r="K98" s="18"/>
      <c r="L98" s="18">
        <v>9.8000000000000007</v>
      </c>
      <c r="M98" s="18"/>
      <c r="N98" s="18">
        <f t="shared" si="8"/>
        <v>9.8000000000000007</v>
      </c>
      <c r="O98" s="18">
        <f t="shared" si="9"/>
        <v>9.8000000000000007</v>
      </c>
      <c r="P98" s="91" t="e">
        <f t="shared" si="10"/>
        <v>#DIV/0!</v>
      </c>
    </row>
    <row r="99" spans="1:16" ht="30.75" customHeight="1">
      <c r="A99" s="201"/>
      <c r="B99" s="239" t="s">
        <v>473</v>
      </c>
      <c r="C99" s="240"/>
      <c r="D99" s="241"/>
      <c r="E99" s="18"/>
      <c r="F99" s="18"/>
      <c r="G99" s="18"/>
      <c r="H99" s="18"/>
      <c r="I99" s="18"/>
      <c r="J99" s="18"/>
      <c r="K99" s="18"/>
      <c r="L99" s="18">
        <v>1.9</v>
      </c>
      <c r="M99" s="18"/>
      <c r="N99" s="18">
        <f t="shared" si="8"/>
        <v>1.9</v>
      </c>
      <c r="O99" s="18">
        <f t="shared" si="9"/>
        <v>1.9</v>
      </c>
      <c r="P99" s="91" t="e">
        <f t="shared" si="10"/>
        <v>#DIV/0!</v>
      </c>
    </row>
    <row r="100" spans="1:16" ht="30.75" customHeight="1">
      <c r="A100" s="201"/>
      <c r="B100" s="239" t="s">
        <v>474</v>
      </c>
      <c r="C100" s="240"/>
      <c r="D100" s="241"/>
      <c r="E100" s="18"/>
      <c r="F100" s="18"/>
      <c r="G100" s="18"/>
      <c r="H100" s="18"/>
      <c r="I100" s="18"/>
      <c r="J100" s="18"/>
      <c r="K100" s="18"/>
      <c r="L100" s="18">
        <v>15.6</v>
      </c>
      <c r="M100" s="18"/>
      <c r="N100" s="18">
        <f t="shared" si="8"/>
        <v>15.6</v>
      </c>
      <c r="O100" s="18">
        <f t="shared" si="9"/>
        <v>15.6</v>
      </c>
      <c r="P100" s="91" t="e">
        <f t="shared" si="10"/>
        <v>#DIV/0!</v>
      </c>
    </row>
    <row r="101" spans="1:16" ht="30.75" customHeight="1">
      <c r="A101" s="201"/>
      <c r="B101" s="239" t="s">
        <v>475</v>
      </c>
      <c r="C101" s="240"/>
      <c r="D101" s="241"/>
      <c r="E101" s="18"/>
      <c r="F101" s="18"/>
      <c r="G101" s="18"/>
      <c r="H101" s="18"/>
      <c r="I101" s="18"/>
      <c r="J101" s="18">
        <v>22.1</v>
      </c>
      <c r="K101" s="18"/>
      <c r="L101" s="18"/>
      <c r="M101" s="18"/>
      <c r="N101" s="18">
        <f t="shared" si="8"/>
        <v>22.1</v>
      </c>
      <c r="O101" s="18">
        <f t="shared" si="9"/>
        <v>22.1</v>
      </c>
      <c r="P101" s="91" t="e">
        <f t="shared" si="10"/>
        <v>#DIV/0!</v>
      </c>
    </row>
    <row r="102" spans="1:16" ht="30.75" customHeight="1">
      <c r="A102" s="201"/>
      <c r="B102" s="239" t="s">
        <v>476</v>
      </c>
      <c r="C102" s="240"/>
      <c r="D102" s="241"/>
      <c r="E102" s="18"/>
      <c r="F102" s="18"/>
      <c r="G102" s="18"/>
      <c r="H102" s="18"/>
      <c r="I102" s="18"/>
      <c r="J102" s="18">
        <v>26.3</v>
      </c>
      <c r="K102" s="18"/>
      <c r="L102" s="18"/>
      <c r="M102" s="18"/>
      <c r="N102" s="18">
        <f t="shared" si="8"/>
        <v>26.3</v>
      </c>
      <c r="O102" s="18">
        <f t="shared" si="9"/>
        <v>26.3</v>
      </c>
      <c r="P102" s="91" t="e">
        <f t="shared" si="10"/>
        <v>#DIV/0!</v>
      </c>
    </row>
    <row r="103" spans="1:16" ht="30.75" customHeight="1">
      <c r="A103" s="201"/>
      <c r="B103" s="239" t="s">
        <v>477</v>
      </c>
      <c r="C103" s="240"/>
      <c r="D103" s="241"/>
      <c r="E103" s="18"/>
      <c r="F103" s="18"/>
      <c r="G103" s="18"/>
      <c r="H103" s="18"/>
      <c r="I103" s="18"/>
      <c r="J103" s="18"/>
      <c r="K103" s="18"/>
      <c r="L103" s="18">
        <v>9.1999999999999993</v>
      </c>
      <c r="M103" s="18"/>
      <c r="N103" s="18">
        <f t="shared" si="8"/>
        <v>9.1999999999999993</v>
      </c>
      <c r="O103" s="18">
        <f t="shared" si="9"/>
        <v>9.1999999999999993</v>
      </c>
      <c r="P103" s="91" t="e">
        <f t="shared" si="10"/>
        <v>#DIV/0!</v>
      </c>
    </row>
    <row r="104" spans="1:16" ht="39.75" customHeight="1">
      <c r="A104" s="201"/>
      <c r="B104" s="242" t="s">
        <v>478</v>
      </c>
      <c r="C104" s="243"/>
      <c r="D104" s="244"/>
      <c r="E104" s="18"/>
      <c r="F104" s="18"/>
      <c r="G104" s="18"/>
      <c r="H104" s="18"/>
      <c r="I104" s="18"/>
      <c r="J104" s="18"/>
      <c r="K104" s="18"/>
      <c r="L104" s="18">
        <v>22</v>
      </c>
      <c r="M104" s="18"/>
      <c r="N104" s="18">
        <f t="shared" si="8"/>
        <v>22</v>
      </c>
      <c r="O104" s="18">
        <f t="shared" si="9"/>
        <v>22</v>
      </c>
      <c r="P104" s="91" t="e">
        <f t="shared" si="10"/>
        <v>#DIV/0!</v>
      </c>
    </row>
    <row r="105" spans="1:16" ht="36.75" customHeight="1">
      <c r="A105" s="201"/>
      <c r="B105" s="242" t="s">
        <v>479</v>
      </c>
      <c r="C105" s="243"/>
      <c r="D105" s="244"/>
      <c r="E105" s="18"/>
      <c r="F105" s="18"/>
      <c r="G105" s="18"/>
      <c r="H105" s="18"/>
      <c r="I105" s="18"/>
      <c r="J105" s="18"/>
      <c r="K105" s="18"/>
      <c r="L105" s="18">
        <v>5.4</v>
      </c>
      <c r="M105" s="18"/>
      <c r="N105" s="18">
        <f t="shared" si="8"/>
        <v>5.4</v>
      </c>
      <c r="O105" s="18">
        <f t="shared" si="9"/>
        <v>5.4</v>
      </c>
      <c r="P105" s="91" t="e">
        <f t="shared" si="10"/>
        <v>#DIV/0!</v>
      </c>
    </row>
    <row r="106" spans="1:16" ht="24.75" customHeight="1">
      <c r="A106" s="201"/>
      <c r="B106" s="239" t="s">
        <v>480</v>
      </c>
      <c r="C106" s="240"/>
      <c r="D106" s="241"/>
      <c r="E106" s="18"/>
      <c r="F106" s="18"/>
      <c r="G106" s="18"/>
      <c r="H106" s="18"/>
      <c r="I106" s="18"/>
      <c r="J106" s="18"/>
      <c r="K106" s="18"/>
      <c r="L106" s="18">
        <v>3.1</v>
      </c>
      <c r="M106" s="18"/>
      <c r="N106" s="18">
        <f t="shared" si="8"/>
        <v>3.1</v>
      </c>
      <c r="O106" s="18">
        <f t="shared" si="9"/>
        <v>3.1</v>
      </c>
      <c r="P106" s="91" t="e">
        <f t="shared" si="10"/>
        <v>#DIV/0!</v>
      </c>
    </row>
    <row r="107" spans="1:16" ht="39.75" customHeight="1">
      <c r="A107" s="201"/>
      <c r="B107" s="242" t="s">
        <v>481</v>
      </c>
      <c r="C107" s="243"/>
      <c r="D107" s="244"/>
      <c r="E107" s="18"/>
      <c r="F107" s="18"/>
      <c r="G107" s="18"/>
      <c r="H107" s="18"/>
      <c r="I107" s="18"/>
      <c r="J107" s="18"/>
      <c r="K107" s="18"/>
      <c r="L107" s="18">
        <v>22</v>
      </c>
      <c r="M107" s="18"/>
      <c r="N107" s="18">
        <f t="shared" si="8"/>
        <v>22</v>
      </c>
      <c r="O107" s="18">
        <f t="shared" si="9"/>
        <v>22</v>
      </c>
      <c r="P107" s="91" t="e">
        <f t="shared" si="10"/>
        <v>#DIV/0!</v>
      </c>
    </row>
    <row r="108" spans="1:16" ht="30.75" customHeight="1">
      <c r="A108" s="201"/>
      <c r="B108" s="239" t="s">
        <v>482</v>
      </c>
      <c r="C108" s="240"/>
      <c r="D108" s="241"/>
      <c r="E108" s="18"/>
      <c r="F108" s="18"/>
      <c r="G108" s="18"/>
      <c r="H108" s="18"/>
      <c r="I108" s="18"/>
      <c r="J108" s="18"/>
      <c r="K108" s="18"/>
      <c r="L108" s="18">
        <v>3</v>
      </c>
      <c r="M108" s="18"/>
      <c r="N108" s="18">
        <f t="shared" si="8"/>
        <v>3</v>
      </c>
      <c r="O108" s="18">
        <f t="shared" si="9"/>
        <v>3</v>
      </c>
      <c r="P108" s="91" t="e">
        <f t="shared" si="10"/>
        <v>#DIV/0!</v>
      </c>
    </row>
    <row r="109" spans="1:16" ht="30.75" customHeight="1">
      <c r="A109" s="201"/>
      <c r="B109" s="242" t="s">
        <v>483</v>
      </c>
      <c r="C109" s="243"/>
      <c r="D109" s="244"/>
      <c r="E109" s="18"/>
      <c r="F109" s="18"/>
      <c r="G109" s="18"/>
      <c r="H109" s="18"/>
      <c r="I109" s="18"/>
      <c r="J109" s="18"/>
      <c r="K109" s="18"/>
      <c r="L109" s="18">
        <v>18.899999999999999</v>
      </c>
      <c r="M109" s="18"/>
      <c r="N109" s="18">
        <f t="shared" si="8"/>
        <v>18.899999999999999</v>
      </c>
      <c r="O109" s="18">
        <f t="shared" si="9"/>
        <v>18.899999999999999</v>
      </c>
      <c r="P109" s="91" t="e">
        <f t="shared" si="10"/>
        <v>#DIV/0!</v>
      </c>
    </row>
    <row r="110" spans="1:16" ht="30.75" customHeight="1">
      <c r="A110" s="201"/>
      <c r="B110" s="239" t="s">
        <v>484</v>
      </c>
      <c r="C110" s="240"/>
      <c r="D110" s="241"/>
      <c r="E110" s="18"/>
      <c r="F110" s="18"/>
      <c r="G110" s="18"/>
      <c r="H110" s="18"/>
      <c r="I110" s="18"/>
      <c r="J110" s="18"/>
      <c r="K110" s="18"/>
      <c r="L110" s="18">
        <v>4.2</v>
      </c>
      <c r="M110" s="18"/>
      <c r="N110" s="18">
        <f t="shared" si="8"/>
        <v>4.2</v>
      </c>
      <c r="O110" s="18">
        <f t="shared" si="9"/>
        <v>4.2</v>
      </c>
      <c r="P110" s="91" t="e">
        <f t="shared" si="10"/>
        <v>#DIV/0!</v>
      </c>
    </row>
    <row r="111" spans="1:16" ht="42" customHeight="1">
      <c r="A111" s="201"/>
      <c r="B111" s="242" t="s">
        <v>485</v>
      </c>
      <c r="C111" s="243"/>
      <c r="D111" s="244"/>
      <c r="E111" s="18"/>
      <c r="F111" s="18"/>
      <c r="G111" s="18"/>
      <c r="H111" s="18"/>
      <c r="I111" s="18"/>
      <c r="J111" s="18">
        <v>15.2</v>
      </c>
      <c r="K111" s="18"/>
      <c r="L111" s="18"/>
      <c r="M111" s="18"/>
      <c r="N111" s="18">
        <f t="shared" si="8"/>
        <v>15.2</v>
      </c>
      <c r="O111" s="18">
        <f t="shared" si="9"/>
        <v>15.2</v>
      </c>
      <c r="P111" s="91" t="e">
        <f t="shared" si="10"/>
        <v>#DIV/0!</v>
      </c>
    </row>
    <row r="112" spans="1:16" ht="30.75" customHeight="1">
      <c r="A112" s="201"/>
      <c r="B112" s="239" t="s">
        <v>495</v>
      </c>
      <c r="C112" s="240"/>
      <c r="D112" s="241"/>
      <c r="E112" s="18"/>
      <c r="F112" s="18"/>
      <c r="G112" s="18"/>
      <c r="H112" s="18"/>
      <c r="I112" s="18"/>
      <c r="J112" s="18"/>
      <c r="K112" s="18"/>
      <c r="L112" s="18">
        <v>14.8</v>
      </c>
      <c r="M112" s="18"/>
      <c r="N112" s="18">
        <f t="shared" si="8"/>
        <v>14.8</v>
      </c>
      <c r="O112" s="18">
        <f t="shared" si="9"/>
        <v>14.8</v>
      </c>
      <c r="P112" s="91" t="e">
        <f t="shared" si="10"/>
        <v>#DIV/0!</v>
      </c>
    </row>
    <row r="113" spans="1:16" ht="42" customHeight="1">
      <c r="A113" s="201"/>
      <c r="B113" s="242" t="s">
        <v>496</v>
      </c>
      <c r="C113" s="243"/>
      <c r="D113" s="244"/>
      <c r="E113" s="18"/>
      <c r="F113" s="18"/>
      <c r="G113" s="18"/>
      <c r="H113" s="18"/>
      <c r="I113" s="18"/>
      <c r="J113" s="18"/>
      <c r="K113" s="18"/>
      <c r="L113" s="18">
        <v>13.3</v>
      </c>
      <c r="M113" s="18"/>
      <c r="N113" s="18">
        <f t="shared" si="8"/>
        <v>13.3</v>
      </c>
      <c r="O113" s="18">
        <f t="shared" si="9"/>
        <v>13.3</v>
      </c>
      <c r="P113" s="91" t="e">
        <f t="shared" si="10"/>
        <v>#DIV/0!</v>
      </c>
    </row>
    <row r="114" spans="1:16" ht="30.75" customHeight="1">
      <c r="A114" s="201"/>
      <c r="B114" s="239" t="s">
        <v>486</v>
      </c>
      <c r="C114" s="240"/>
      <c r="D114" s="241"/>
      <c r="E114" s="18"/>
      <c r="F114" s="18"/>
      <c r="G114" s="18"/>
      <c r="H114" s="18"/>
      <c r="I114" s="18"/>
      <c r="J114" s="18"/>
      <c r="K114" s="18"/>
      <c r="L114" s="18">
        <v>6.6</v>
      </c>
      <c r="M114" s="18"/>
      <c r="N114" s="18">
        <f t="shared" si="8"/>
        <v>6.6</v>
      </c>
      <c r="O114" s="18">
        <f t="shared" si="9"/>
        <v>6.6</v>
      </c>
      <c r="P114" s="91" t="e">
        <f t="shared" si="10"/>
        <v>#DIV/0!</v>
      </c>
    </row>
    <row r="115" spans="1:16" ht="55.5" customHeight="1">
      <c r="A115" s="201"/>
      <c r="B115" s="242" t="s">
        <v>487</v>
      </c>
      <c r="C115" s="243"/>
      <c r="D115" s="244"/>
      <c r="E115" s="18"/>
      <c r="F115" s="18"/>
      <c r="G115" s="18"/>
      <c r="H115" s="18"/>
      <c r="I115" s="18"/>
      <c r="J115" s="18">
        <v>6.2</v>
      </c>
      <c r="K115" s="18"/>
      <c r="L115" s="18"/>
      <c r="M115" s="18"/>
      <c r="N115" s="18">
        <f t="shared" si="8"/>
        <v>6.2</v>
      </c>
      <c r="O115" s="18">
        <f t="shared" si="9"/>
        <v>6.2</v>
      </c>
      <c r="P115" s="91" t="e">
        <f t="shared" si="10"/>
        <v>#DIV/0!</v>
      </c>
    </row>
    <row r="116" spans="1:16" ht="30.75" customHeight="1">
      <c r="A116" s="201"/>
      <c r="B116" s="239" t="s">
        <v>488</v>
      </c>
      <c r="C116" s="240"/>
      <c r="D116" s="241"/>
      <c r="E116" s="18"/>
      <c r="F116" s="18"/>
      <c r="G116" s="18"/>
      <c r="H116" s="18"/>
      <c r="I116" s="18"/>
      <c r="J116" s="18"/>
      <c r="K116" s="18"/>
      <c r="L116" s="18">
        <v>4.8</v>
      </c>
      <c r="M116" s="18"/>
      <c r="N116" s="18">
        <f t="shared" si="8"/>
        <v>4.8</v>
      </c>
      <c r="O116" s="18">
        <f t="shared" si="9"/>
        <v>4.8</v>
      </c>
      <c r="P116" s="91" t="e">
        <f t="shared" si="10"/>
        <v>#DIV/0!</v>
      </c>
    </row>
    <row r="117" spans="1:16" ht="30.75" customHeight="1">
      <c r="A117" s="201"/>
      <c r="B117" s="239" t="s">
        <v>489</v>
      </c>
      <c r="C117" s="240"/>
      <c r="D117" s="241"/>
      <c r="E117" s="18"/>
      <c r="F117" s="18"/>
      <c r="G117" s="18"/>
      <c r="H117" s="18"/>
      <c r="I117" s="18"/>
      <c r="J117" s="18">
        <v>4.0999999999999996</v>
      </c>
      <c r="K117" s="18"/>
      <c r="L117" s="18"/>
      <c r="M117" s="18"/>
      <c r="N117" s="18">
        <f t="shared" si="8"/>
        <v>4.0999999999999996</v>
      </c>
      <c r="O117" s="18">
        <f t="shared" si="9"/>
        <v>4.0999999999999996</v>
      </c>
      <c r="P117" s="91" t="e">
        <f t="shared" si="10"/>
        <v>#DIV/0!</v>
      </c>
    </row>
    <row r="118" spans="1:16" ht="30.75" customHeight="1">
      <c r="A118" s="201"/>
      <c r="B118" s="239" t="s">
        <v>490</v>
      </c>
      <c r="C118" s="240"/>
      <c r="D118" s="241"/>
      <c r="E118" s="18"/>
      <c r="F118" s="18"/>
      <c r="G118" s="18"/>
      <c r="H118" s="18"/>
      <c r="I118" s="18"/>
      <c r="J118" s="18">
        <v>3.5</v>
      </c>
      <c r="K118" s="18"/>
      <c r="L118" s="18"/>
      <c r="M118" s="18"/>
      <c r="N118" s="18">
        <f t="shared" si="8"/>
        <v>3.5</v>
      </c>
      <c r="O118" s="18">
        <f t="shared" si="9"/>
        <v>3.5</v>
      </c>
      <c r="P118" s="91" t="e">
        <f t="shared" si="10"/>
        <v>#DIV/0!</v>
      </c>
    </row>
    <row r="119" spans="1:16" ht="30.75" customHeight="1">
      <c r="A119" s="201"/>
      <c r="B119" s="239" t="s">
        <v>491</v>
      </c>
      <c r="C119" s="240"/>
      <c r="D119" s="241"/>
      <c r="E119" s="18"/>
      <c r="F119" s="18"/>
      <c r="G119" s="18"/>
      <c r="H119" s="18"/>
      <c r="I119" s="18"/>
      <c r="J119" s="18"/>
      <c r="K119" s="18"/>
      <c r="L119" s="18">
        <v>2.8</v>
      </c>
      <c r="M119" s="18"/>
      <c r="N119" s="18">
        <f t="shared" si="8"/>
        <v>2.8</v>
      </c>
      <c r="O119" s="18">
        <f t="shared" si="9"/>
        <v>2.8</v>
      </c>
      <c r="P119" s="91" t="e">
        <f t="shared" si="10"/>
        <v>#DIV/0!</v>
      </c>
    </row>
    <row r="120" spans="1:16" ht="30.75" customHeight="1">
      <c r="A120" s="201"/>
      <c r="B120" s="239" t="s">
        <v>492</v>
      </c>
      <c r="C120" s="240"/>
      <c r="D120" s="241"/>
      <c r="E120" s="18"/>
      <c r="F120" s="18"/>
      <c r="G120" s="18"/>
      <c r="H120" s="18"/>
      <c r="I120" s="18"/>
      <c r="J120" s="18"/>
      <c r="K120" s="18"/>
      <c r="L120" s="18">
        <v>2.1</v>
      </c>
      <c r="M120" s="18"/>
      <c r="N120" s="18">
        <f t="shared" si="8"/>
        <v>2.1</v>
      </c>
      <c r="O120" s="18">
        <f t="shared" si="9"/>
        <v>2.1</v>
      </c>
      <c r="P120" s="91" t="e">
        <f t="shared" si="10"/>
        <v>#DIV/0!</v>
      </c>
    </row>
    <row r="121" spans="1:16" ht="30.75" customHeight="1">
      <c r="A121" s="201"/>
      <c r="B121" s="239" t="s">
        <v>493</v>
      </c>
      <c r="C121" s="240"/>
      <c r="D121" s="241"/>
      <c r="E121" s="18"/>
      <c r="F121" s="18"/>
      <c r="G121" s="18"/>
      <c r="H121" s="18"/>
      <c r="I121" s="18"/>
      <c r="J121" s="18"/>
      <c r="K121" s="18"/>
      <c r="L121" s="18">
        <v>0.2</v>
      </c>
      <c r="M121" s="18"/>
      <c r="N121" s="18">
        <f t="shared" si="8"/>
        <v>0.2</v>
      </c>
      <c r="O121" s="18">
        <f t="shared" si="9"/>
        <v>0.2</v>
      </c>
      <c r="P121" s="91" t="e">
        <f t="shared" si="10"/>
        <v>#DIV/0!</v>
      </c>
    </row>
    <row r="122" spans="1:16" ht="30.75" customHeight="1">
      <c r="A122" s="201"/>
      <c r="B122" s="239" t="s">
        <v>494</v>
      </c>
      <c r="C122" s="240"/>
      <c r="D122" s="241"/>
      <c r="E122" s="18"/>
      <c r="F122" s="18"/>
      <c r="G122" s="18"/>
      <c r="H122" s="18"/>
      <c r="I122" s="18"/>
      <c r="J122" s="18">
        <v>0.4</v>
      </c>
      <c r="K122" s="18"/>
      <c r="L122" s="18"/>
      <c r="M122" s="18"/>
      <c r="N122" s="18">
        <f t="shared" si="8"/>
        <v>0.4</v>
      </c>
      <c r="O122" s="18">
        <f t="shared" si="9"/>
        <v>0.4</v>
      </c>
      <c r="P122" s="91" t="e">
        <f t="shared" si="10"/>
        <v>#DIV/0!</v>
      </c>
    </row>
    <row r="123" spans="1:16" ht="33" customHeight="1">
      <c r="A123" s="201" t="s">
        <v>104</v>
      </c>
      <c r="B123" s="257" t="s">
        <v>512</v>
      </c>
      <c r="C123" s="258"/>
      <c r="D123" s="259"/>
      <c r="E123" s="18"/>
      <c r="F123" s="18"/>
      <c r="G123" s="14">
        <f t="shared" ref="G123:L123" si="11">SUM(G124:G124)</f>
        <v>0</v>
      </c>
      <c r="H123" s="14">
        <f t="shared" si="11"/>
        <v>0</v>
      </c>
      <c r="I123" s="14">
        <f t="shared" si="11"/>
        <v>0</v>
      </c>
      <c r="J123" s="14">
        <f t="shared" si="11"/>
        <v>0</v>
      </c>
      <c r="K123" s="14">
        <f t="shared" si="11"/>
        <v>0</v>
      </c>
      <c r="L123" s="14">
        <f t="shared" si="11"/>
        <v>1760.8</v>
      </c>
      <c r="M123" s="14">
        <f t="shared" si="7"/>
        <v>0</v>
      </c>
      <c r="N123" s="14">
        <f>SUM(N124:N124)</f>
        <v>1760.8</v>
      </c>
      <c r="O123" s="14">
        <f t="shared" si="9"/>
        <v>1760.8</v>
      </c>
      <c r="P123" s="91" t="e">
        <f t="shared" si="10"/>
        <v>#DIV/0!</v>
      </c>
    </row>
    <row r="124" spans="1:16" ht="101.25" customHeight="1">
      <c r="A124" s="92"/>
      <c r="B124" s="242" t="s">
        <v>218</v>
      </c>
      <c r="C124" s="243"/>
      <c r="D124" s="244"/>
      <c r="E124" s="18"/>
      <c r="F124" s="18"/>
      <c r="G124" s="18"/>
      <c r="H124" s="18"/>
      <c r="I124" s="18"/>
      <c r="J124" s="18"/>
      <c r="K124" s="15"/>
      <c r="L124" s="15">
        <v>1760.8</v>
      </c>
      <c r="M124" s="14">
        <f t="shared" si="7"/>
        <v>0</v>
      </c>
      <c r="N124" s="18">
        <f>F124+H124+J124+L124</f>
        <v>1760.8</v>
      </c>
      <c r="O124" s="14">
        <f t="shared" si="9"/>
        <v>1760.8</v>
      </c>
      <c r="P124" s="156" t="e">
        <f t="shared" si="10"/>
        <v>#DIV/0!</v>
      </c>
    </row>
    <row r="125" spans="1:16" ht="40.5" customHeight="1">
      <c r="A125" s="248" t="s">
        <v>9</v>
      </c>
      <c r="B125" s="249"/>
      <c r="C125" s="249"/>
      <c r="D125" s="249"/>
      <c r="E125" s="14">
        <f>E7+E43</f>
        <v>0</v>
      </c>
      <c r="F125" s="14">
        <f>F7+F43</f>
        <v>0</v>
      </c>
      <c r="G125" s="14">
        <f>G7+G43+G123</f>
        <v>3000.6</v>
      </c>
      <c r="H125" s="14">
        <f>H7+H43+H123</f>
        <v>3000.7</v>
      </c>
      <c r="I125" s="14">
        <f>I7+I43</f>
        <v>0</v>
      </c>
      <c r="J125" s="14">
        <f>J7+J43+J123</f>
        <v>328.8</v>
      </c>
      <c r="K125" s="14">
        <f>K7+K43+K123</f>
        <v>0</v>
      </c>
      <c r="L125" s="14">
        <f>L7+L43+L123</f>
        <v>9882.2999999999993</v>
      </c>
      <c r="M125" s="14">
        <f>M7+M43+M123</f>
        <v>3000.6</v>
      </c>
      <c r="N125" s="14">
        <f>N7+N43+N123</f>
        <v>13211.8</v>
      </c>
      <c r="O125" s="14">
        <f>O7+O43</f>
        <v>8450.4</v>
      </c>
      <c r="P125" s="14">
        <f t="shared" ref="P125" si="12">(N125/M125)*100</f>
        <v>440.30527227887751</v>
      </c>
    </row>
    <row r="126" spans="1:16" ht="20.100000000000001" customHeight="1">
      <c r="A126" s="94"/>
      <c r="B126" s="155"/>
      <c r="C126" s="95"/>
      <c r="D126" s="95"/>
      <c r="E126" s="95"/>
      <c r="F126" s="95"/>
      <c r="G126" s="95"/>
      <c r="H126" s="95"/>
      <c r="I126" s="95"/>
      <c r="J126" s="94"/>
      <c r="K126" s="95"/>
      <c r="L126" s="94"/>
    </row>
    <row r="127" spans="1:16" ht="18" hidden="1" customHeight="1">
      <c r="A127" s="96"/>
      <c r="B127" s="160"/>
      <c r="C127" s="97"/>
      <c r="D127" s="97"/>
      <c r="E127" s="97"/>
      <c r="F127" s="97"/>
      <c r="G127" s="97"/>
      <c r="H127" s="97"/>
      <c r="I127" s="97"/>
      <c r="J127" s="97"/>
    </row>
    <row r="128" spans="1:16" s="209" customFormat="1" ht="19.5" hidden="1" customHeight="1">
      <c r="B128" s="1"/>
      <c r="C128" s="9"/>
      <c r="D128" s="9"/>
      <c r="E128" s="9"/>
      <c r="F128" s="9"/>
    </row>
    <row r="129" spans="1:13" s="10" customFormat="1" ht="32.25" customHeight="1">
      <c r="B129" s="252" t="s">
        <v>214</v>
      </c>
      <c r="C129" s="253"/>
      <c r="D129" s="253"/>
      <c r="E129" s="208"/>
      <c r="F129" s="208"/>
      <c r="G129" s="254"/>
      <c r="H129" s="254"/>
      <c r="I129" s="254"/>
      <c r="J129" s="182"/>
      <c r="K129" s="225" t="s">
        <v>186</v>
      </c>
      <c r="L129" s="225"/>
      <c r="M129" s="225"/>
    </row>
    <row r="130" spans="1:13" s="209" customFormat="1" ht="19.5" customHeight="1">
      <c r="B130" s="255" t="s">
        <v>10</v>
      </c>
      <c r="C130" s="255"/>
      <c r="D130" s="255"/>
      <c r="E130" s="98"/>
      <c r="F130" s="98"/>
      <c r="G130" s="99"/>
      <c r="H130" s="183" t="s">
        <v>11</v>
      </c>
      <c r="I130" s="99"/>
      <c r="J130" s="98"/>
      <c r="K130" s="255" t="s">
        <v>17</v>
      </c>
      <c r="L130" s="255"/>
      <c r="M130" s="255"/>
    </row>
    <row r="131" spans="1:13" ht="20.100000000000001" customHeight="1">
      <c r="B131" s="100"/>
      <c r="C131" s="100"/>
      <c r="D131" s="100"/>
      <c r="E131" s="101"/>
      <c r="F131" s="101"/>
      <c r="G131" s="101"/>
      <c r="H131" s="101"/>
      <c r="I131" s="101"/>
      <c r="J131" s="101"/>
    </row>
    <row r="132" spans="1:13" ht="20.100000000000001" customHeight="1">
      <c r="B132" s="100"/>
      <c r="C132" s="100"/>
      <c r="D132" s="100"/>
      <c r="E132" s="100"/>
      <c r="F132" s="100"/>
      <c r="G132" s="100"/>
      <c r="H132" s="100"/>
      <c r="I132" s="100"/>
      <c r="J132" s="100"/>
    </row>
    <row r="133" spans="1:13">
      <c r="B133" s="100"/>
      <c r="C133" s="100"/>
      <c r="D133" s="100"/>
      <c r="E133" s="100"/>
      <c r="F133" s="100"/>
      <c r="G133" s="100"/>
      <c r="H133" s="100"/>
      <c r="I133" s="100"/>
      <c r="J133" s="100"/>
    </row>
    <row r="134" spans="1:13" s="251" customFormat="1" ht="19.149999999999999" customHeight="1">
      <c r="A134" s="250" t="s">
        <v>52</v>
      </c>
    </row>
    <row r="137" spans="1:13">
      <c r="B137" s="11"/>
    </row>
    <row r="138" spans="1:13">
      <c r="B138" s="11"/>
    </row>
    <row r="139" spans="1:13">
      <c r="B139" s="11"/>
    </row>
    <row r="140" spans="1:13">
      <c r="B140" s="11"/>
    </row>
    <row r="141" spans="1:13">
      <c r="B141" s="11"/>
    </row>
    <row r="142" spans="1:13">
      <c r="B142" s="11"/>
    </row>
    <row r="143" spans="1:13">
      <c r="B143" s="11"/>
    </row>
  </sheetData>
  <mergeCells count="134">
    <mergeCell ref="A125:D125"/>
    <mergeCell ref="A134:XFD134"/>
    <mergeCell ref="B129:D129"/>
    <mergeCell ref="G129:I129"/>
    <mergeCell ref="K129:M129"/>
    <mergeCell ref="K130:M130"/>
    <mergeCell ref="B130:D130"/>
    <mergeCell ref="D2:M2"/>
    <mergeCell ref="M4:P4"/>
    <mergeCell ref="G4:H4"/>
    <mergeCell ref="K4:L4"/>
    <mergeCell ref="I4:J4"/>
    <mergeCell ref="E4:F4"/>
    <mergeCell ref="A4:A5"/>
    <mergeCell ref="B7:D7"/>
    <mergeCell ref="B43:D43"/>
    <mergeCell ref="B6:D6"/>
    <mergeCell ref="B4:D5"/>
    <mergeCell ref="B10:D10"/>
    <mergeCell ref="B11:D11"/>
    <mergeCell ref="B13:D13"/>
    <mergeCell ref="B12:D12"/>
    <mergeCell ref="B14:D14"/>
    <mergeCell ref="B15:D15"/>
    <mergeCell ref="B16:D16"/>
    <mergeCell ref="B17:D17"/>
    <mergeCell ref="B18:D18"/>
    <mergeCell ref="B19:D19"/>
    <mergeCell ref="B20:D20"/>
    <mergeCell ref="B124:D124"/>
    <mergeCell ref="B77:D77"/>
    <mergeCell ref="B78:D78"/>
    <mergeCell ref="B79:D79"/>
    <mergeCell ref="B80:D80"/>
    <mergeCell ref="B81:D81"/>
    <mergeCell ref="B82:D82"/>
    <mergeCell ref="B83:D83"/>
    <mergeCell ref="B84:D84"/>
    <mergeCell ref="B85:D85"/>
    <mergeCell ref="B89:D89"/>
    <mergeCell ref="B86:D86"/>
    <mergeCell ref="B21:D21"/>
    <mergeCell ref="B22:D22"/>
    <mergeCell ref="B23:D23"/>
    <mergeCell ref="B24:D24"/>
    <mergeCell ref="B25:D25"/>
    <mergeCell ref="B90:D90"/>
    <mergeCell ref="B75:D75"/>
    <mergeCell ref="B123:D123"/>
    <mergeCell ref="B26:D26"/>
    <mergeCell ref="B44:D44"/>
    <mergeCell ref="B48:D48"/>
    <mergeCell ref="B49:D49"/>
    <mergeCell ref="B50:D50"/>
    <mergeCell ref="B45:D45"/>
    <mergeCell ref="B46:D46"/>
    <mergeCell ref="B47:D47"/>
    <mergeCell ref="B27:D27"/>
    <mergeCell ref="B28:D28"/>
    <mergeCell ref="B29:D29"/>
    <mergeCell ref="B30:D30"/>
    <mergeCell ref="B31:D31"/>
    <mergeCell ref="B32:D32"/>
    <mergeCell ref="B33:D33"/>
    <mergeCell ref="B34:D34"/>
    <mergeCell ref="B40:D40"/>
    <mergeCell ref="B41:D41"/>
    <mergeCell ref="B42:D42"/>
    <mergeCell ref="B91:D91"/>
    <mergeCell ref="B92:D92"/>
    <mergeCell ref="B35:D35"/>
    <mergeCell ref="B36:D36"/>
    <mergeCell ref="B9:D9"/>
    <mergeCell ref="B8:D8"/>
    <mergeCell ref="B87:D87"/>
    <mergeCell ref="B88:D88"/>
    <mergeCell ref="B61:D61"/>
    <mergeCell ref="B62:D62"/>
    <mergeCell ref="B64:D64"/>
    <mergeCell ref="B63:D63"/>
    <mergeCell ref="B74:D74"/>
    <mergeCell ref="B73:D73"/>
    <mergeCell ref="B66:D66"/>
    <mergeCell ref="B72:D72"/>
    <mergeCell ref="B67:D67"/>
    <mergeCell ref="B69:D69"/>
    <mergeCell ref="B70:D70"/>
    <mergeCell ref="B71:D71"/>
    <mergeCell ref="B68:D68"/>
    <mergeCell ref="B65:D65"/>
    <mergeCell ref="B56:D56"/>
    <mergeCell ref="B57:D57"/>
    <mergeCell ref="B58:D58"/>
    <mergeCell ref="B59:D59"/>
    <mergeCell ref="B60:D60"/>
    <mergeCell ref="B51:D51"/>
    <mergeCell ref="B37:D37"/>
    <mergeCell ref="B38:D38"/>
    <mergeCell ref="B39:D39"/>
    <mergeCell ref="B52:D52"/>
    <mergeCell ref="B53:D53"/>
    <mergeCell ref="B54:D54"/>
    <mergeCell ref="B55:D55"/>
    <mergeCell ref="B98:D98"/>
    <mergeCell ref="B76:D76"/>
    <mergeCell ref="B99:D99"/>
    <mergeCell ref="B100:D100"/>
    <mergeCell ref="B101:D101"/>
    <mergeCell ref="B102:D102"/>
    <mergeCell ref="B93:D93"/>
    <mergeCell ref="B94:D94"/>
    <mergeCell ref="B95:D95"/>
    <mergeCell ref="B96:D96"/>
    <mergeCell ref="B97:D97"/>
    <mergeCell ref="B108:D108"/>
    <mergeCell ref="B109:D109"/>
    <mergeCell ref="B110:D110"/>
    <mergeCell ref="B111:D111"/>
    <mergeCell ref="B112:D112"/>
    <mergeCell ref="B103:D103"/>
    <mergeCell ref="B104:D104"/>
    <mergeCell ref="B105:D105"/>
    <mergeCell ref="B106:D106"/>
    <mergeCell ref="B107:D107"/>
    <mergeCell ref="B118:D118"/>
    <mergeCell ref="B119:D119"/>
    <mergeCell ref="B120:D120"/>
    <mergeCell ref="B121:D121"/>
    <mergeCell ref="B122:D122"/>
    <mergeCell ref="B113:D113"/>
    <mergeCell ref="B114:D114"/>
    <mergeCell ref="B115:D115"/>
    <mergeCell ref="B116:D116"/>
    <mergeCell ref="B117:D117"/>
  </mergeCells>
  <phoneticPr fontId="4" type="noConversion"/>
  <pageMargins left="0.39370078740157483" right="0.39370078740157483" top="0.78740157480314965" bottom="0.39370078740157483" header="0.19685039370078741" footer="0.31496062992125984"/>
  <pageSetup paperSize="9" scale="46" fitToHeight="5" orientation="landscape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10</vt:i4>
      </vt:variant>
    </vt:vector>
  </HeadingPairs>
  <TitlesOfParts>
    <vt:vector size="15" baseType="lpstr">
      <vt:lpstr>Звіт про виконання показ фінпла</vt:lpstr>
      <vt:lpstr>Розшифровка 1 до Формування</vt:lpstr>
      <vt:lpstr>Розшифровка 2 до формування</vt:lpstr>
      <vt:lpstr>Розшифровка кап</vt:lpstr>
      <vt:lpstr>Розшифровка за джерелами</vt:lpstr>
      <vt:lpstr>'Звіт про виконання показ фінпла'!Заголовки_для_печати</vt:lpstr>
      <vt:lpstr>'Розшифровка 1 до Формування'!Заголовки_для_печати</vt:lpstr>
      <vt:lpstr>'Розшифровка 2 до формування'!Заголовки_для_печати</vt:lpstr>
      <vt:lpstr>'Розшифровка за джерелами'!Заголовки_для_печати</vt:lpstr>
      <vt:lpstr>'Розшифровка кап'!Заголовки_для_печати</vt:lpstr>
      <vt:lpstr>'Звіт про виконання показ фінпла'!Область_печати</vt:lpstr>
      <vt:lpstr>'Розшифровка 1 до Формування'!Область_печати</vt:lpstr>
      <vt:lpstr>'Розшифровка 2 до формування'!Область_печати</vt:lpstr>
      <vt:lpstr>'Розшифровка за джерелами'!Область_печати</vt:lpstr>
      <vt:lpstr>'Розшифровка кап'!Область_печати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Мельник Олена Володимирівна</dc:creator>
  <cp:lastModifiedBy>CMtaD</cp:lastModifiedBy>
  <cp:lastPrinted>2025-12-01T15:00:50Z</cp:lastPrinted>
  <dcterms:created xsi:type="dcterms:W3CDTF">2003-03-13T16:00:22Z</dcterms:created>
  <dcterms:modified xsi:type="dcterms:W3CDTF">2025-12-01T15:00:56Z</dcterms:modified>
</cp:coreProperties>
</file>